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85" windowWidth="15480" windowHeight="9720" tabRatio="821"/>
  </bookViews>
  <sheets>
    <sheet name="FC 2072-073" sheetId="51" r:id="rId1"/>
  </sheets>
  <definedNames>
    <definedName name="_xlnm.Print_Area" localSheetId="0">'FC 2072-073'!$A$1:$U$347</definedName>
    <definedName name="_xlnm.Print_Titles" localSheetId="0">'FC 2072-073'!$129:$129</definedName>
  </definedNames>
  <calcPr calcId="124519"/>
</workbook>
</file>

<file path=xl/calcChain.xml><?xml version="1.0" encoding="utf-8"?>
<calcChain xmlns="http://schemas.openxmlformats.org/spreadsheetml/2006/main">
  <c r="R10" i="51"/>
  <c r="C5"/>
  <c r="C18"/>
  <c r="C16" s="1"/>
  <c r="C19"/>
  <c r="C27"/>
  <c r="C25" s="1"/>
  <c r="C38"/>
  <c r="C32"/>
  <c r="D5"/>
  <c r="D18"/>
  <c r="D16"/>
  <c r="D19"/>
  <c r="D25"/>
  <c r="D38"/>
  <c r="D32"/>
  <c r="E5"/>
  <c r="E18"/>
  <c r="E16" s="1"/>
  <c r="E19"/>
  <c r="E25"/>
  <c r="E38"/>
  <c r="E32"/>
  <c r="F5"/>
  <c r="F18"/>
  <c r="F16" s="1"/>
  <c r="F19"/>
  <c r="F25"/>
  <c r="F32"/>
  <c r="G5"/>
  <c r="G18"/>
  <c r="G16" s="1"/>
  <c r="G19"/>
  <c r="G25"/>
  <c r="G32"/>
  <c r="H5"/>
  <c r="H18"/>
  <c r="H16" s="1"/>
  <c r="H4" s="1"/>
  <c r="H19"/>
  <c r="H25"/>
  <c r="H32"/>
  <c r="I13"/>
  <c r="I5"/>
  <c r="I17"/>
  <c r="I16"/>
  <c r="I19"/>
  <c r="I25"/>
  <c r="I32"/>
  <c r="I4"/>
  <c r="J14"/>
  <c r="J5"/>
  <c r="J16"/>
  <c r="J19"/>
  <c r="J25"/>
  <c r="J32"/>
  <c r="K14"/>
  <c r="K5" s="1"/>
  <c r="K16"/>
  <c r="K19"/>
  <c r="K25"/>
  <c r="K32"/>
  <c r="L13"/>
  <c r="L5" s="1"/>
  <c r="L17"/>
  <c r="L18"/>
  <c r="L19"/>
  <c r="L25"/>
  <c r="L32"/>
  <c r="M5"/>
  <c r="M16"/>
  <c r="M19"/>
  <c r="M25"/>
  <c r="M32"/>
  <c r="N5"/>
  <c r="N16"/>
  <c r="N19"/>
  <c r="N25"/>
  <c r="N32"/>
  <c r="O5"/>
  <c r="O18"/>
  <c r="O16"/>
  <c r="O19"/>
  <c r="O25"/>
  <c r="O38"/>
  <c r="O32"/>
  <c r="P5"/>
  <c r="P16"/>
  <c r="P19"/>
  <c r="P25"/>
  <c r="P32"/>
  <c r="Q5"/>
  <c r="Q16"/>
  <c r="Q19"/>
  <c r="Q25"/>
  <c r="Q32"/>
  <c r="R8"/>
  <c r="R9"/>
  <c r="R12"/>
  <c r="R13"/>
  <c r="R14"/>
  <c r="R15"/>
  <c r="R17"/>
  <c r="R18"/>
  <c r="R20"/>
  <c r="R19" s="1"/>
  <c r="R21"/>
  <c r="R22"/>
  <c r="R23"/>
  <c r="R24"/>
  <c r="R26"/>
  <c r="R27"/>
  <c r="R33"/>
  <c r="R34"/>
  <c r="R35"/>
  <c r="R36"/>
  <c r="R37"/>
  <c r="R39"/>
  <c r="R40"/>
  <c r="R41"/>
  <c r="R42"/>
  <c r="S5"/>
  <c r="S16"/>
  <c r="S19"/>
  <c r="S25"/>
  <c r="S32"/>
  <c r="T8"/>
  <c r="T9"/>
  <c r="T10"/>
  <c r="T12"/>
  <c r="T13"/>
  <c r="T14"/>
  <c r="T15"/>
  <c r="T17"/>
  <c r="T18"/>
  <c r="T20"/>
  <c r="T21"/>
  <c r="T22"/>
  <c r="T23"/>
  <c r="T24"/>
  <c r="T27"/>
  <c r="T25" s="1"/>
  <c r="T33"/>
  <c r="T34"/>
  <c r="T35"/>
  <c r="T36"/>
  <c r="T37"/>
  <c r="T38"/>
  <c r="T39"/>
  <c r="T40"/>
  <c r="T41"/>
  <c r="T42"/>
  <c r="U5"/>
  <c r="U16"/>
  <c r="U19"/>
  <c r="U25"/>
  <c r="U32"/>
  <c r="G28"/>
  <c r="H28"/>
  <c r="C67"/>
  <c r="C66" s="1"/>
  <c r="C85"/>
  <c r="C97"/>
  <c r="C100"/>
  <c r="C104"/>
  <c r="C111"/>
  <c r="D67"/>
  <c r="D66" s="1"/>
  <c r="D85"/>
  <c r="D97"/>
  <c r="D100"/>
  <c r="D104"/>
  <c r="D111"/>
  <c r="E67"/>
  <c r="E66" s="1"/>
  <c r="E85"/>
  <c r="E97"/>
  <c r="E100"/>
  <c r="E104"/>
  <c r="E111"/>
  <c r="F67"/>
  <c r="F66" s="1"/>
  <c r="F85"/>
  <c r="F97"/>
  <c r="F100"/>
  <c r="F104"/>
  <c r="F111"/>
  <c r="G67"/>
  <c r="G72"/>
  <c r="G85"/>
  <c r="G97"/>
  <c r="G104"/>
  <c r="G111"/>
  <c r="H67"/>
  <c r="H72"/>
  <c r="H85"/>
  <c r="H97"/>
  <c r="H100"/>
  <c r="H104"/>
  <c r="H111"/>
  <c r="I76"/>
  <c r="I82"/>
  <c r="I85"/>
  <c r="I97"/>
  <c r="I100"/>
  <c r="I104"/>
  <c r="I113"/>
  <c r="I111" s="1"/>
  <c r="J67"/>
  <c r="J72"/>
  <c r="J76"/>
  <c r="J82"/>
  <c r="J85"/>
  <c r="J97"/>
  <c r="J100"/>
  <c r="J104"/>
  <c r="J111"/>
  <c r="K67"/>
  <c r="K72"/>
  <c r="K76"/>
  <c r="K82"/>
  <c r="K85"/>
  <c r="K97"/>
  <c r="K100"/>
  <c r="K104"/>
  <c r="K111"/>
  <c r="L67"/>
  <c r="L72"/>
  <c r="L76"/>
  <c r="L82"/>
  <c r="L85"/>
  <c r="L97"/>
  <c r="L100"/>
  <c r="L104"/>
  <c r="L111"/>
  <c r="M67"/>
  <c r="M72"/>
  <c r="M76"/>
  <c r="M83"/>
  <c r="M84"/>
  <c r="M85"/>
  <c r="M97"/>
  <c r="M100"/>
  <c r="M104"/>
  <c r="M113"/>
  <c r="M111" s="1"/>
  <c r="N67"/>
  <c r="N72"/>
  <c r="N76"/>
  <c r="N82"/>
  <c r="N85"/>
  <c r="N97"/>
  <c r="N100"/>
  <c r="N104"/>
  <c r="N111"/>
  <c r="O67"/>
  <c r="O72"/>
  <c r="O76"/>
  <c r="O82"/>
  <c r="O85"/>
  <c r="O97"/>
  <c r="O100"/>
  <c r="O104"/>
  <c r="O113"/>
  <c r="O111" s="1"/>
  <c r="P67"/>
  <c r="P72"/>
  <c r="P76"/>
  <c r="P82"/>
  <c r="P85"/>
  <c r="P97"/>
  <c r="P100"/>
  <c r="P104"/>
  <c r="P111"/>
  <c r="Q67"/>
  <c r="Q72"/>
  <c r="Q76"/>
  <c r="Q82"/>
  <c r="Q90"/>
  <c r="Q97"/>
  <c r="Q100"/>
  <c r="Q104"/>
  <c r="Q111"/>
  <c r="R68"/>
  <c r="R70"/>
  <c r="R73"/>
  <c r="R74"/>
  <c r="R75"/>
  <c r="R77"/>
  <c r="R78"/>
  <c r="R83"/>
  <c r="R84"/>
  <c r="R87"/>
  <c r="R85" s="1"/>
  <c r="R90"/>
  <c r="R99"/>
  <c r="R97" s="1"/>
  <c r="R101"/>
  <c r="R102"/>
  <c r="R106"/>
  <c r="R107"/>
  <c r="R108"/>
  <c r="R113"/>
  <c r="R111" s="1"/>
  <c r="S67"/>
  <c r="S72"/>
  <c r="S76"/>
  <c r="S82"/>
  <c r="S85"/>
  <c r="S90"/>
  <c r="S97"/>
  <c r="S100"/>
  <c r="S104"/>
  <c r="S111"/>
  <c r="T67"/>
  <c r="T72"/>
  <c r="T77"/>
  <c r="T76" s="1"/>
  <c r="T82"/>
  <c r="T85"/>
  <c r="T90"/>
  <c r="T97"/>
  <c r="T101"/>
  <c r="T102"/>
  <c r="T107"/>
  <c r="T108"/>
  <c r="T113"/>
  <c r="T111" s="1"/>
  <c r="U67"/>
  <c r="U72"/>
  <c r="U66" s="1"/>
  <c r="U65" s="1"/>
  <c r="U64" s="1"/>
  <c r="U76"/>
  <c r="U82"/>
  <c r="U85"/>
  <c r="U90"/>
  <c r="U97"/>
  <c r="U100"/>
  <c r="U104"/>
  <c r="U111"/>
  <c r="C131"/>
  <c r="C136"/>
  <c r="C149"/>
  <c r="C146"/>
  <c r="C154"/>
  <c r="C152"/>
  <c r="C159"/>
  <c r="C165"/>
  <c r="C170"/>
  <c r="C182"/>
  <c r="D131"/>
  <c r="D136"/>
  <c r="D149"/>
  <c r="D146" s="1"/>
  <c r="D154"/>
  <c r="D152" s="1"/>
  <c r="D159"/>
  <c r="D165"/>
  <c r="D175"/>
  <c r="D170" s="1"/>
  <c r="D182"/>
  <c r="E131"/>
  <c r="E136"/>
  <c r="E149"/>
  <c r="E146" s="1"/>
  <c r="E154"/>
  <c r="E152" s="1"/>
  <c r="E159"/>
  <c r="E165"/>
  <c r="E170"/>
  <c r="E182"/>
  <c r="F131"/>
  <c r="F136"/>
  <c r="F149"/>
  <c r="F146" s="1"/>
  <c r="F154"/>
  <c r="F152" s="1"/>
  <c r="F159"/>
  <c r="F165"/>
  <c r="F170"/>
  <c r="F182"/>
  <c r="G131"/>
  <c r="G136"/>
  <c r="G149"/>
  <c r="G146" s="1"/>
  <c r="G152"/>
  <c r="G159"/>
  <c r="G165"/>
  <c r="G170"/>
  <c r="G182"/>
  <c r="H131"/>
  <c r="H136"/>
  <c r="H149"/>
  <c r="H146" s="1"/>
  <c r="H152"/>
  <c r="H159"/>
  <c r="H165"/>
  <c r="H170"/>
  <c r="H182"/>
  <c r="I131"/>
  <c r="I136"/>
  <c r="I146"/>
  <c r="I152"/>
  <c r="I159"/>
  <c r="I165"/>
  <c r="I170"/>
  <c r="I182"/>
  <c r="J131"/>
  <c r="J136"/>
  <c r="J149"/>
  <c r="J146" s="1"/>
  <c r="J152"/>
  <c r="J159"/>
  <c r="J165"/>
  <c r="J170"/>
  <c r="J182"/>
  <c r="K131"/>
  <c r="K136"/>
  <c r="K149"/>
  <c r="K146" s="1"/>
  <c r="K152"/>
  <c r="K159"/>
  <c r="K165"/>
  <c r="K170"/>
  <c r="K182"/>
  <c r="L131"/>
  <c r="L136"/>
  <c r="L146"/>
  <c r="L152"/>
  <c r="L159"/>
  <c r="L165"/>
  <c r="L170"/>
  <c r="L182"/>
  <c r="M131"/>
  <c r="M136"/>
  <c r="M149"/>
  <c r="M146" s="1"/>
  <c r="M152"/>
  <c r="M159"/>
  <c r="M165"/>
  <c r="M170"/>
  <c r="M182"/>
  <c r="N131"/>
  <c r="N136"/>
  <c r="N146"/>
  <c r="N152"/>
  <c r="N159"/>
  <c r="N165"/>
  <c r="N170"/>
  <c r="N182"/>
  <c r="N130"/>
  <c r="O131"/>
  <c r="O136"/>
  <c r="O149"/>
  <c r="O146"/>
  <c r="O152"/>
  <c r="O159"/>
  <c r="O165"/>
  <c r="O170"/>
  <c r="O182"/>
  <c r="O130"/>
  <c r="P131"/>
  <c r="P136"/>
  <c r="P146"/>
  <c r="P152"/>
  <c r="P159"/>
  <c r="P165"/>
  <c r="P170"/>
  <c r="P182"/>
  <c r="Q131"/>
  <c r="Q136"/>
  <c r="Q146"/>
  <c r="Q152"/>
  <c r="Q159"/>
  <c r="Q165"/>
  <c r="Q170"/>
  <c r="Q182"/>
  <c r="R132"/>
  <c r="R133"/>
  <c r="R134"/>
  <c r="R135"/>
  <c r="R137"/>
  <c r="R138"/>
  <c r="R139"/>
  <c r="R140"/>
  <c r="R141"/>
  <c r="R142"/>
  <c r="R143"/>
  <c r="R145"/>
  <c r="R147"/>
  <c r="R148"/>
  <c r="R149"/>
  <c r="R150"/>
  <c r="R151"/>
  <c r="R153"/>
  <c r="R154"/>
  <c r="R155"/>
  <c r="R156"/>
  <c r="R160"/>
  <c r="R161"/>
  <c r="R162"/>
  <c r="R163"/>
  <c r="R164"/>
  <c r="R169"/>
  <c r="R165" s="1"/>
  <c r="R173"/>
  <c r="R174"/>
  <c r="R175"/>
  <c r="R176"/>
  <c r="R177"/>
  <c r="R178"/>
  <c r="R179"/>
  <c r="R180"/>
  <c r="R181"/>
  <c r="R184"/>
  <c r="R182" s="1"/>
  <c r="R185"/>
  <c r="S131"/>
  <c r="S136"/>
  <c r="S146"/>
  <c r="S152"/>
  <c r="S156"/>
  <c r="S159"/>
  <c r="S165"/>
  <c r="S170"/>
  <c r="T132"/>
  <c r="T133"/>
  <c r="T134"/>
  <c r="T135"/>
  <c r="T137"/>
  <c r="T138"/>
  <c r="T139"/>
  <c r="T140"/>
  <c r="T141"/>
  <c r="T142"/>
  <c r="T143"/>
  <c r="T144"/>
  <c r="T145"/>
  <c r="T147"/>
  <c r="T148"/>
  <c r="T149"/>
  <c r="T150"/>
  <c r="T151"/>
  <c r="T153"/>
  <c r="T154"/>
  <c r="T155"/>
  <c r="T157"/>
  <c r="T158"/>
  <c r="T160"/>
  <c r="T161"/>
  <c r="T162"/>
  <c r="T163"/>
  <c r="T164"/>
  <c r="T169"/>
  <c r="T165" s="1"/>
  <c r="T173"/>
  <c r="T174"/>
  <c r="T176"/>
  <c r="T177"/>
  <c r="T178"/>
  <c r="T179"/>
  <c r="T180"/>
  <c r="T181"/>
  <c r="T184"/>
  <c r="T182" s="1"/>
  <c r="T185"/>
  <c r="U131"/>
  <c r="U136"/>
  <c r="U146"/>
  <c r="U152"/>
  <c r="U156"/>
  <c r="U159"/>
  <c r="U165"/>
  <c r="U170"/>
  <c r="S182"/>
  <c r="U182"/>
  <c r="C187"/>
  <c r="C190"/>
  <c r="C342"/>
  <c r="C186"/>
  <c r="D187"/>
  <c r="D190"/>
  <c r="D342"/>
  <c r="D186"/>
  <c r="E187"/>
  <c r="E190"/>
  <c r="E342"/>
  <c r="E186"/>
  <c r="F187"/>
  <c r="F190"/>
  <c r="F342"/>
  <c r="F186"/>
  <c r="G187"/>
  <c r="G190"/>
  <c r="G342"/>
  <c r="G186"/>
  <c r="H187"/>
  <c r="H195"/>
  <c r="H190" s="1"/>
  <c r="H186" s="1"/>
  <c r="H342"/>
  <c r="I187"/>
  <c r="I190"/>
  <c r="I342"/>
  <c r="J187"/>
  <c r="J190"/>
  <c r="J342"/>
  <c r="K187"/>
  <c r="K195"/>
  <c r="K190"/>
  <c r="K342"/>
  <c r="K186"/>
  <c r="L187"/>
  <c r="L195"/>
  <c r="L190" s="1"/>
  <c r="L186" s="1"/>
  <c r="L342"/>
  <c r="M187"/>
  <c r="M195"/>
  <c r="M190"/>
  <c r="M342"/>
  <c r="M186"/>
  <c r="N187"/>
  <c r="N190"/>
  <c r="N342"/>
  <c r="N186"/>
  <c r="N347" s="1"/>
  <c r="O187"/>
  <c r="O195"/>
  <c r="O309"/>
  <c r="O190"/>
  <c r="O342"/>
  <c r="O186"/>
  <c r="O347" s="1"/>
  <c r="P187"/>
  <c r="P190"/>
  <c r="P342"/>
  <c r="P186"/>
  <c r="Q187"/>
  <c r="Q190"/>
  <c r="Q342"/>
  <c r="Q186"/>
  <c r="R188"/>
  <c r="R189"/>
  <c r="R191"/>
  <c r="R192"/>
  <c r="R193"/>
  <c r="R195"/>
  <c r="R309"/>
  <c r="R324"/>
  <c r="R325"/>
  <c r="R344"/>
  <c r="R342" s="1"/>
  <c r="S187"/>
  <c r="S190"/>
  <c r="S204"/>
  <c r="S195"/>
  <c r="S309"/>
  <c r="S342"/>
  <c r="T188"/>
  <c r="T189"/>
  <c r="T191"/>
  <c r="T192"/>
  <c r="T193"/>
  <c r="T194"/>
  <c r="T195"/>
  <c r="T309"/>
  <c r="T324"/>
  <c r="T325"/>
  <c r="T344"/>
  <c r="T342" s="1"/>
  <c r="U190"/>
  <c r="U195"/>
  <c r="U342"/>
  <c r="R187" l="1"/>
  <c r="R100"/>
  <c r="T187"/>
  <c r="P66"/>
  <c r="T104"/>
  <c r="Q66"/>
  <c r="H66"/>
  <c r="G66"/>
  <c r="R16"/>
  <c r="T100"/>
  <c r="F4"/>
  <c r="S4"/>
  <c r="T66"/>
  <c r="T65" s="1"/>
  <c r="L66"/>
  <c r="L65" s="1"/>
  <c r="J66"/>
  <c r="J65" s="1"/>
  <c r="S130"/>
  <c r="Q130"/>
  <c r="S66"/>
  <c r="S65" s="1"/>
  <c r="S64" s="1"/>
  <c r="R67"/>
  <c r="K66"/>
  <c r="K65" s="1"/>
  <c r="K64" s="1"/>
  <c r="R25"/>
  <c r="U186"/>
  <c r="U130"/>
  <c r="T156"/>
  <c r="I130"/>
  <c r="R104"/>
  <c r="R72"/>
  <c r="F65"/>
  <c r="F64" s="1"/>
  <c r="F124" s="1"/>
  <c r="D65"/>
  <c r="D64" s="1"/>
  <c r="R170"/>
  <c r="R146"/>
  <c r="T170"/>
  <c r="T159"/>
  <c r="R152"/>
  <c r="R82"/>
  <c r="R76"/>
  <c r="R66" s="1"/>
  <c r="R65" s="1"/>
  <c r="T16"/>
  <c r="T5"/>
  <c r="K130"/>
  <c r="J130"/>
  <c r="S124"/>
  <c r="S186"/>
  <c r="S347" s="1"/>
  <c r="Q347"/>
  <c r="K347"/>
  <c r="I186"/>
  <c r="I347" s="1"/>
  <c r="L130"/>
  <c r="L347" s="1"/>
  <c r="O66"/>
  <c r="O65" s="1"/>
  <c r="O64" s="1"/>
  <c r="M82"/>
  <c r="M66" s="1"/>
  <c r="M65" s="1"/>
  <c r="M64" s="1"/>
  <c r="I66"/>
  <c r="I65" s="1"/>
  <c r="I64" s="1"/>
  <c r="I124" s="1"/>
  <c r="U4"/>
  <c r="U124" s="1"/>
  <c r="P4"/>
  <c r="N4"/>
  <c r="J4"/>
  <c r="G4"/>
  <c r="D4"/>
  <c r="D124" s="1"/>
  <c r="C4"/>
  <c r="J186"/>
  <c r="J347" s="1"/>
  <c r="P130"/>
  <c r="P347" s="1"/>
  <c r="F130"/>
  <c r="F347" s="1"/>
  <c r="C130"/>
  <c r="C347" s="1"/>
  <c r="Q65"/>
  <c r="Q64" s="1"/>
  <c r="P65"/>
  <c r="P64" s="1"/>
  <c r="P124" s="1"/>
  <c r="N66"/>
  <c r="N65" s="1"/>
  <c r="N64" s="1"/>
  <c r="N124" s="1"/>
  <c r="L64"/>
  <c r="J64"/>
  <c r="J124" s="1"/>
  <c r="H65"/>
  <c r="H64" s="1"/>
  <c r="H124" s="1"/>
  <c r="G65"/>
  <c r="G64" s="1"/>
  <c r="G124" s="1"/>
  <c r="E65"/>
  <c r="E64" s="1"/>
  <c r="C65"/>
  <c r="C64" s="1"/>
  <c r="T32"/>
  <c r="Q4"/>
  <c r="O4"/>
  <c r="M4"/>
  <c r="L16"/>
  <c r="K4"/>
  <c r="K124" s="1"/>
  <c r="E4"/>
  <c r="T146"/>
  <c r="T131"/>
  <c r="R159"/>
  <c r="R131"/>
  <c r="T19"/>
  <c r="T190"/>
  <c r="T186" s="1"/>
  <c r="R190"/>
  <c r="T152"/>
  <c r="T136"/>
  <c r="R136"/>
  <c r="R32"/>
  <c r="R5"/>
  <c r="M130"/>
  <c r="M347"/>
  <c r="H130"/>
  <c r="H347" s="1"/>
  <c r="G130"/>
  <c r="G347" s="1"/>
  <c r="E130"/>
  <c r="E347" s="1"/>
  <c r="D130"/>
  <c r="D347" s="1"/>
  <c r="C124"/>
  <c r="L4"/>
  <c r="L124" s="1"/>
  <c r="R4" l="1"/>
  <c r="R130"/>
  <c r="R64"/>
  <c r="T4"/>
  <c r="R186"/>
  <c r="T130"/>
  <c r="T347" s="1"/>
  <c r="T64"/>
  <c r="U347"/>
  <c r="E124"/>
  <c r="O124"/>
  <c r="Q124"/>
  <c r="M124"/>
  <c r="R347" l="1"/>
  <c r="R124"/>
  <c r="T124"/>
</calcChain>
</file>

<file path=xl/comments1.xml><?xml version="1.0" encoding="utf-8"?>
<comments xmlns="http://schemas.openxmlformats.org/spreadsheetml/2006/main">
  <authors>
    <author>user</author>
    <author>Server</author>
  </authors>
  <commentList>
    <comment ref="S1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ptk dhulabari=620000
taxipar=480000
gokul=150500
sur=152050</t>
        </r>
      </text>
    </comment>
    <comment ref="U1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ptk dhulabari=620000
taxipar=0
gokul=150500
sur=152050</t>
        </r>
      </text>
    </comment>
    <comment ref="S1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pasuhat3131000
toi=803101
toi dhu=50100
hatbazar=721000</t>
        </r>
      </text>
    </comment>
    <comment ref="U1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pasuhat3131000
toi=803101
toi dhu=50100</t>
        </r>
      </text>
    </comment>
    <comment ref="L6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>2500000
sadak board1950000
ugdp        15000000
lgcdp chalu500000</t>
        </r>
      </text>
    </comment>
    <comment ref="B6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kharsisha 23621</t>
        </r>
      </text>
    </comment>
    <comment ref="J7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sadak board
jajada kosh</t>
        </r>
      </text>
    </comment>
    <comment ref="L7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sadak board 1950000
jajada kosh 10000000</t>
        </r>
      </text>
    </comment>
    <comment ref="S7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2997285+4199867+3500245+2983959+3012082+5580000=22273439</t>
        </r>
      </text>
    </comment>
    <comment ref="R8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kharcha shirk 26322</t>
        </r>
      </text>
    </comment>
    <comment ref="R8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kharsik 26311</t>
        </r>
      </text>
    </comment>
    <comment ref="S10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14000000*80&amp;=75*= 8400000</t>
        </r>
      </text>
    </comment>
    <comment ref="U10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14000000*80&amp;=75*= 8400000</t>
        </r>
      </text>
    </comment>
    <comment ref="S10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2338845*60%=</t>
        </r>
      </text>
    </comment>
    <comment ref="U10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2338845*60%=</t>
        </r>
      </text>
    </comment>
    <comment ref="N10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loan:23903609.89
soft l: 1272631.03
govt grant 2208494.45</t>
        </r>
      </text>
    </comment>
    <comment ref="O10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loan:23903609.89
soft l: 1272631.03
govt grant 2208494.45</t>
        </r>
      </text>
    </comment>
    <comment ref="S10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2338845*30%=</t>
        </r>
      </text>
    </comment>
    <comment ref="U10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2338845*30%=</t>
        </r>
      </text>
    </comment>
    <comment ref="S10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14000000*10&amp;=75*= 105000
</t>
        </r>
      </text>
    </comment>
    <comment ref="S193" authorId="1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lgcdp add 200000
oid 350000
</t>
        </r>
      </text>
    </comment>
    <comment ref="S19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5000350+5994570+5999810+5020138+5967919+6200000=34182787</t>
        </r>
      </text>
    </comment>
    <comment ref="U29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gate =       400000
jadkosh=12000000
roadbord= 900000</t>
        </r>
      </text>
    </comment>
  </commentList>
</comments>
</file>

<file path=xl/sharedStrings.xml><?xml version="1.0" encoding="utf-8"?>
<sst xmlns="http://schemas.openxmlformats.org/spreadsheetml/2006/main" count="689" uniqueCount="658">
  <si>
    <t>k|fljlws ;]jf z"Ns</t>
  </si>
  <si>
    <t>cGo ;|f]t kl/rfng kmf/d ljs|L</t>
  </si>
  <si>
    <t xml:space="preserve">hDdf cfDbfgL </t>
  </si>
  <si>
    <t>/sd g+=</t>
  </si>
  <si>
    <t>vr{ zLif{s</t>
  </si>
  <si>
    <t>pkef]u vr{</t>
  </si>
  <si>
    <t>1=01</t>
  </si>
  <si>
    <t>tnj</t>
  </si>
  <si>
    <t>1=01=1</t>
  </si>
  <si>
    <t>tnj sd{rf/L</t>
  </si>
  <si>
    <t>1=01=2</t>
  </si>
  <si>
    <t>kbflwsf/L kfl/&gt;lds</t>
  </si>
  <si>
    <t>1=01=3</t>
  </si>
  <si>
    <t>sd{rf/L sNof0f sf]if</t>
  </si>
  <si>
    <t>1=01=4</t>
  </si>
  <si>
    <t>jLdf lk|ldod</t>
  </si>
  <si>
    <t>1=02</t>
  </si>
  <si>
    <t>1=02=1</t>
  </si>
  <si>
    <t>1=02=2</t>
  </si>
  <si>
    <t>1=02=3</t>
  </si>
  <si>
    <t>j}7s eQf</t>
  </si>
  <si>
    <t>1=03</t>
  </si>
  <si>
    <t>;?jf e|d0f vr{ tyf b}lgs eQf</t>
  </si>
  <si>
    <t>1=04</t>
  </si>
  <si>
    <t>kf]zfs</t>
  </si>
  <si>
    <t>1=05</t>
  </si>
  <si>
    <t>vfBfGg tyf cfxf/</t>
  </si>
  <si>
    <t>1=06</t>
  </si>
  <si>
    <t>cf}iflw pkrf/</t>
  </si>
  <si>
    <t>1=07</t>
  </si>
  <si>
    <t>;]jf lglj[Q ;'ljwf</t>
  </si>
  <si>
    <t>1=08</t>
  </si>
  <si>
    <t>sfo{ ;+rfng / ;]jf vr{</t>
  </si>
  <si>
    <t>2=01</t>
  </si>
  <si>
    <t>kfgL tyf ljh'nL dxz'n</t>
  </si>
  <si>
    <t>2=02</t>
  </si>
  <si>
    <t>;+rf/ dxz''n</t>
  </si>
  <si>
    <t>2=03</t>
  </si>
  <si>
    <t>sfof{no ;DaGwL vr{</t>
  </si>
  <si>
    <t>2=04</t>
  </si>
  <si>
    <t>ef8f</t>
  </si>
  <si>
    <t>2=05</t>
  </si>
  <si>
    <t>2=06</t>
  </si>
  <si>
    <t>OGwg tyf cGo OGwg</t>
  </si>
  <si>
    <t>2=06=1</t>
  </si>
  <si>
    <t>2=06=2</t>
  </si>
  <si>
    <t>2=06=3</t>
  </si>
  <si>
    <t>cGo OGwg</t>
  </si>
  <si>
    <t>2=07</t>
  </si>
  <si>
    <t>k/fdz{ tyf cGo ;]jf z'Ns</t>
  </si>
  <si>
    <t>2=07=1</t>
  </si>
  <si>
    <t>k/fdz{ z'Ns</t>
  </si>
  <si>
    <t>2=07=2</t>
  </si>
  <si>
    <t>;/;kmfO{ tyf cGo ;]jf z'Ns</t>
  </si>
  <si>
    <t>2=08</t>
  </si>
  <si>
    <t>2=08=1</t>
  </si>
  <si>
    <t>;b:otf z'Ns</t>
  </si>
  <si>
    <t>2=08=2</t>
  </si>
  <si>
    <t xml:space="preserve">cfly{s ;xfotf </t>
  </si>
  <si>
    <t>2=08=3</t>
  </si>
  <si>
    <t>2=08=4</t>
  </si>
  <si>
    <t>kl/ifb ;+rfng vr{</t>
  </si>
  <si>
    <t>2=08=5</t>
  </si>
  <si>
    <t>3</t>
  </si>
  <si>
    <t>3=01</t>
  </si>
  <si>
    <t>3=02</t>
  </si>
  <si>
    <t>gu/kflnsf÷ufpF ljsf; ;ldlt cg'bfg</t>
  </si>
  <si>
    <t>pkef]Qmf ;ldlt cg'bfg</t>
  </si>
  <si>
    <t>3=03</t>
  </si>
  <si>
    <t>;fdflhs ;]jf – lgzt{ cg'bfg</t>
  </si>
  <si>
    <t>lzIff If]q cg'bfg</t>
  </si>
  <si>
    <t>:jf:Yo cg'bfg</t>
  </si>
  <si>
    <t>cGo ;fdflhs If]q cg'bfg</t>
  </si>
  <si>
    <t>3=04</t>
  </si>
  <si>
    <t>;fdflhs ;+:yf – ;zt{ cg'bfg</t>
  </si>
  <si>
    <t>4</t>
  </si>
  <si>
    <t>;]jf tyf pTkfbg vr{</t>
  </si>
  <si>
    <t>4=01</t>
  </si>
  <si>
    <t>pTkfbg ;fdu|L ;]]jf</t>
  </si>
  <si>
    <t>4=02</t>
  </si>
  <si>
    <t>4=03</t>
  </si>
  <si>
    <t>k':ts tyf ;fdu|L</t>
  </si>
  <si>
    <t>4=04</t>
  </si>
  <si>
    <t>4=05</t>
  </si>
  <si>
    <t>sfo{qmd e|d0f vr{</t>
  </si>
  <si>
    <t>4=05=1</t>
  </si>
  <si>
    <t>4=05=2</t>
  </si>
  <si>
    <t>4=06</t>
  </si>
  <si>
    <t>9=01</t>
  </si>
  <si>
    <t>e}k/L cfpg]</t>
  </si>
  <si>
    <t>11</t>
  </si>
  <si>
    <t>Jofh e'QmfgL</t>
  </si>
  <si>
    <t>11=01</t>
  </si>
  <si>
    <t>cfGtl/s C0fsf] Jofh e'QmfgL</t>
  </si>
  <si>
    <t>11=02</t>
  </si>
  <si>
    <t>jfXo C0fsf] Jofh e'QmfgL</t>
  </si>
  <si>
    <t>lkmtf{ vr{</t>
  </si>
  <si>
    <t>k+""hL 6«fG;km/ vr{</t>
  </si>
  <si>
    <t>5=01</t>
  </si>
  <si>
    <t>hUuf vl/b</t>
  </si>
  <si>
    <t>5=02</t>
  </si>
  <si>
    <t>ejg  vl/b</t>
  </si>
  <si>
    <t>k"FhL lgdf{0f vr{</t>
  </si>
  <si>
    <t>6=01</t>
  </si>
  <si>
    <t>kmlg{r/ lkmSr;{</t>
  </si>
  <si>
    <t>6=02</t>
  </si>
  <si>
    <t>6=03</t>
  </si>
  <si>
    <t>d]l;g/L cf}hf/ tyf cGo pks/0f</t>
  </si>
  <si>
    <t>6=04</t>
  </si>
  <si>
    <t xml:space="preserve">ejg lgdf{0f </t>
  </si>
  <si>
    <t>6=05</t>
  </si>
  <si>
    <t>6=06</t>
  </si>
  <si>
    <t>k+"hLut ;'wf/ vr{</t>
  </si>
  <si>
    <t>6=07</t>
  </si>
  <si>
    <t>cWoog tyf k"hLut k|fljlws k/fdz{ ;]jf vr{</t>
  </si>
  <si>
    <t>nufgL</t>
  </si>
  <si>
    <t>7=01</t>
  </si>
  <si>
    <t>z]o/ nufgL</t>
  </si>
  <si>
    <t>7=02</t>
  </si>
  <si>
    <t>C0f nufgL</t>
  </si>
  <si>
    <t>k"hLut cg'bfg</t>
  </si>
  <si>
    <t>8=01</t>
  </si>
  <si>
    <t>;xsf/L ;+:yf tyf Joj;foL ;+3 ;:yfnfO{ cg'bfg</t>
  </si>
  <si>
    <t>8=02</t>
  </si>
  <si>
    <t>:yfgLo lgsfonfO{  lgzt{ cg'bfg</t>
  </si>
  <si>
    <t>8=02=01</t>
  </si>
  <si>
    <t>8=02=02</t>
  </si>
  <si>
    <t>8=02=03</t>
  </si>
  <si>
    <t>u}/;/sf/L ;+:yf÷Sna cg'bfg</t>
  </si>
  <si>
    <t>8=03</t>
  </si>
  <si>
    <t>8=03=01</t>
  </si>
  <si>
    <t>8=03=02</t>
  </si>
  <si>
    <t>8=03=03</t>
  </si>
  <si>
    <t>8=05</t>
  </si>
  <si>
    <t>8=06</t>
  </si>
  <si>
    <t>:yfgLo lgsfo– ;zt{ cg'bfg</t>
  </si>
  <si>
    <t>9=02</t>
  </si>
  <si>
    <t xml:space="preserve">e}k/L cfpg] </t>
  </si>
  <si>
    <t>;fjf e'QmfgL</t>
  </si>
  <si>
    <t>10=01</t>
  </si>
  <si>
    <t>cfGtl/s C0fsf] ;fjf e'QmfgL</t>
  </si>
  <si>
    <t>10=02</t>
  </si>
  <si>
    <t>jfXo C0fsf] ;fjf e'QmfgL</t>
  </si>
  <si>
    <t>sfo{qmd e|d0f vr{-sd{rf/L_</t>
  </si>
  <si>
    <t>sfo{qmd e|d0f vr{-kbflwsf/L_</t>
  </si>
  <si>
    <t>4=08</t>
  </si>
  <si>
    <t>bdsn tyf PDj'n]G; ;+rfng vr{</t>
  </si>
  <si>
    <t>4=09</t>
  </si>
  <si>
    <t>;8s aQL dx;'n vr{</t>
  </si>
  <si>
    <t xml:space="preserve">;fj{hgLs  ;:yfnfO{ cg'bfg </t>
  </si>
  <si>
    <t>;fdflhs ;+:yfnfO{  cg'bfg</t>
  </si>
  <si>
    <t>cf}iflw tyf c:ktfn ;~rfng vr{</t>
  </si>
  <si>
    <t xml:space="preserve">cf=a= 069÷070 sf] d+;L/ d;fGt ;Ddsf] cfo </t>
  </si>
  <si>
    <t xml:space="preserve">cf=a= 070÷071 sf] cg'dflgt cfo </t>
  </si>
  <si>
    <t>w/f}6L hkmt ;b/:ofx</t>
  </si>
  <si>
    <t>k"hLut vr{</t>
  </si>
  <si>
    <t>6=08</t>
  </si>
  <si>
    <t>;fdflhs ;'/Iff cg'bfg ls/Lof vr{ tyf b}ljk|sf]k</t>
  </si>
  <si>
    <t>6=09</t>
  </si>
  <si>
    <t xml:space="preserve">zzt{ cg'bfg k"hLut s[ifL ;8s #^%*)*# </t>
  </si>
  <si>
    <r>
      <t xml:space="preserve">:yf=gL=lgzt{ k'hLut cg'bfg </t>
    </r>
    <r>
      <rPr>
        <sz val="11"/>
        <rFont val="Himalli"/>
      </rPr>
      <t>#^%*)## -;'qdfcfwf/Lt_</t>
    </r>
  </si>
  <si>
    <t>zzt{ cg'bfg rfn'  #^%*!(# -Pn=lh=;L=8L=kL=_</t>
  </si>
  <si>
    <t>zzt{ cg'bfg k'hLut   #^%*!($ -Pn=lh=;L=8L=kL=_</t>
  </si>
  <si>
    <t>;fdfhLs ;]jf ;zt{ -h]i7 gful/s,czSt,nf]kf]Gd'v tyf Psn dlxnf #^%)!%#</t>
  </si>
  <si>
    <t xml:space="preserve">cGo gub cg'bfg </t>
  </si>
  <si>
    <t xml:space="preserve">l;d g]kfn </t>
  </si>
  <si>
    <t xml:space="preserve">cf=a= 071÷072 sf] ;+;f]lwt cg'dfg Joo </t>
  </si>
  <si>
    <t>;fj{hlgs lgdf{0f tyf k"hLut ;"wf/ vr{</t>
  </si>
  <si>
    <t>:yf=lj=d=hu]8f sf]ifaf6 ;+rfnLt sfo{s|dx? Jf?0foGq v/Lb ;d]t</t>
  </si>
  <si>
    <t xml:space="preserve">j8f :t/Lo sfo{s|d ! b]lv !# j8f </t>
  </si>
  <si>
    <t>6=05=12</t>
  </si>
  <si>
    <t>6=05=13</t>
  </si>
  <si>
    <t>6=05=14</t>
  </si>
  <si>
    <t>DofrLu km08 uf]s'ndfu{,u]6 Ao'6LkmLs]zg tyf cGo of]hgf</t>
  </si>
  <si>
    <t xml:space="preserve">dd{t ;Edf/ sf]if  </t>
  </si>
  <si>
    <t>sfs6/le6\6f a;kfs{ tyf Kof/L6dL{gn</t>
  </si>
  <si>
    <t xml:space="preserve">;'k/lehg tyf lghL k/fdz{ vr{ uf]s'n dfu{ tyf u]6 </t>
  </si>
  <si>
    <t>6=05=15</t>
  </si>
  <si>
    <t>zx/L :jf:Yo kf/L&gt;lds tyf cGo ;]jf vr{</t>
  </si>
  <si>
    <t>6=05=16</t>
  </si>
  <si>
    <t>;'k/lehg sG;N6]G6 cg'bfg gu/ljsf; sf]if</t>
  </si>
  <si>
    <t>6=05=17</t>
  </si>
  <si>
    <t>cf=a= 072÷073 sf] cg'dfg Joo</t>
  </si>
  <si>
    <t xml:space="preserve">tflnd sfo{s|d vr{ M </t>
  </si>
  <si>
    <t>gu/sf] ;/;kmfO{ tyf kmf]x/ d}nf Jo:yfkg vr{</t>
  </si>
  <si>
    <t>sfo{qmd vr{ k|rf/ k|;f/</t>
  </si>
  <si>
    <t>kbflwsf/L ;]jf vr{ eQf</t>
  </si>
  <si>
    <t>;jf/L OGwg -sd{rf/L÷kbflwsf/L_</t>
  </si>
  <si>
    <t xml:space="preserve">cf=a= 069÷070 sf] d+;L/ d;fGt ;Ddsf] Joo </t>
  </si>
  <si>
    <t xml:space="preserve">lgld{t ;fj{hlgs ;DklQsf] ;+ef/ </t>
  </si>
  <si>
    <t>gu/kflnsf÷uf=lj=;ldlt cg'bfg</t>
  </si>
  <si>
    <t>df}Hbft - gub tyf a}s_</t>
  </si>
  <si>
    <t xml:space="preserve">cf=a= 068÷069 sf] cg'dflgt Joo </t>
  </si>
  <si>
    <t xml:space="preserve">;8s jTtL h8fg,dd{t tyf lj:tf/ </t>
  </si>
  <si>
    <t xml:space="preserve">hg ;xeflutf </t>
  </si>
  <si>
    <t>nfut ;xeflutf</t>
  </si>
  <si>
    <t>ljleGg cGo sfo{s|d ;+rfng vr{</t>
  </si>
  <si>
    <t xml:space="preserve">cf=a= 066÷067 cfiff( d;fGt ;Dd sf] oyf{y cfo </t>
  </si>
  <si>
    <t xml:space="preserve">cf=a= 067÷068 cfiff( d;fGt ;Dd sf] oyf{y cfo </t>
  </si>
  <si>
    <t xml:space="preserve">cf=a= 066÷067 cfiff( d;fGt ;Dd sf] oyf{y Joo </t>
  </si>
  <si>
    <t xml:space="preserve">cf=a= 067÷068 cfiff( d;fGt ;Dd sf] oyf{y Joo </t>
  </si>
  <si>
    <t xml:space="preserve">cf=a= 064÷065 cfiff( d;fGt ;Dd sf] oyf{y Joo </t>
  </si>
  <si>
    <t xml:space="preserve">cf=a= 065÷066 cfiff( d;fGt ;Dd sf] oyf{y Joo </t>
  </si>
  <si>
    <t xml:space="preserve">cf=a= 064÷065 cfiff( d;fGt ;Dd sf] oyf{y cfo </t>
  </si>
  <si>
    <t xml:space="preserve">cf=a= 065÷066 cfiff( d;fGt ;Dd sf] oyf{y cfo </t>
  </si>
  <si>
    <t xml:space="preserve">cf=a= 069÷070 sf]  kf}; d;fGt ;Ddsf] cfo </t>
  </si>
  <si>
    <t xml:space="preserve">cf=a= 069÷070 sf] kf}if d;fGt ;Ddsf] Joo </t>
  </si>
  <si>
    <t>1=1</t>
  </si>
  <si>
    <t>1=1=1</t>
  </si>
  <si>
    <t>1=1=2</t>
  </si>
  <si>
    <t>1=1=3</t>
  </si>
  <si>
    <t>1=1=4</t>
  </si>
  <si>
    <t>1=1=5</t>
  </si>
  <si>
    <t>1=1=6</t>
  </si>
  <si>
    <t>1=1=6=1</t>
  </si>
  <si>
    <t>1=1=6=2</t>
  </si>
  <si>
    <t>1=1=7</t>
  </si>
  <si>
    <t>1=1=9</t>
  </si>
  <si>
    <t>1=2</t>
  </si>
  <si>
    <t>1=2=1</t>
  </si>
  <si>
    <t>1=2=4</t>
  </si>
  <si>
    <t>1=3</t>
  </si>
  <si>
    <t>1=3=1</t>
  </si>
  <si>
    <t>1=3=2</t>
  </si>
  <si>
    <t>1=3=3</t>
  </si>
  <si>
    <t>1=3=4</t>
  </si>
  <si>
    <t>1=3=5</t>
  </si>
  <si>
    <t>1=5</t>
  </si>
  <si>
    <t>1=5=1</t>
  </si>
  <si>
    <t>1=5=2</t>
  </si>
  <si>
    <t>1=6</t>
  </si>
  <si>
    <t>1=6=1</t>
  </si>
  <si>
    <t>1=6=2</t>
  </si>
  <si>
    <t>1=6=3</t>
  </si>
  <si>
    <t>1=7</t>
  </si>
  <si>
    <t>1=7=1</t>
  </si>
  <si>
    <t>1=7=2</t>
  </si>
  <si>
    <t>1=7=3</t>
  </si>
  <si>
    <t>1=7=4</t>
  </si>
  <si>
    <t>1=7=5</t>
  </si>
  <si>
    <t>1=7=6</t>
  </si>
  <si>
    <t>1=7=7</t>
  </si>
  <si>
    <t>1=7=8</t>
  </si>
  <si>
    <t>2=1=</t>
  </si>
  <si>
    <t>2=1=1</t>
  </si>
  <si>
    <t>2=1=1=1</t>
  </si>
  <si>
    <t>2=1=1=2</t>
  </si>
  <si>
    <t>2=1=1=3</t>
  </si>
  <si>
    <t>2=2=1</t>
  </si>
  <si>
    <t>2=2=1=1</t>
  </si>
  <si>
    <t>2=2=1=2</t>
  </si>
  <si>
    <t>2=2=1=3</t>
  </si>
  <si>
    <t>2=2=1=4</t>
  </si>
  <si>
    <t>3=1</t>
  </si>
  <si>
    <t>3=1=1</t>
  </si>
  <si>
    <t>3=1=2</t>
  </si>
  <si>
    <t>4=1</t>
  </si>
  <si>
    <t>4=1=1</t>
  </si>
  <si>
    <t>4=1=2</t>
  </si>
  <si>
    <t>4=1=3</t>
  </si>
  <si>
    <t>7=1</t>
  </si>
  <si>
    <t>7=1=1</t>
  </si>
  <si>
    <t>7=1=2</t>
  </si>
  <si>
    <t>7=1=3</t>
  </si>
  <si>
    <t>7=2</t>
  </si>
  <si>
    <t>8=1</t>
  </si>
  <si>
    <t>8=1=1</t>
  </si>
  <si>
    <t>8=1=2</t>
  </si>
  <si>
    <t>9=1</t>
  </si>
  <si>
    <t>9=2</t>
  </si>
  <si>
    <t>10=1</t>
  </si>
  <si>
    <t>11=1</t>
  </si>
  <si>
    <t>12=1</t>
  </si>
  <si>
    <t>13=1</t>
  </si>
  <si>
    <t>14=1</t>
  </si>
  <si>
    <t>15=1</t>
  </si>
  <si>
    <t>16=1</t>
  </si>
  <si>
    <t>17=1</t>
  </si>
  <si>
    <t>2=1=1=3=1</t>
  </si>
  <si>
    <t>2=1=1=3=2</t>
  </si>
  <si>
    <t>2=1=1=3=3</t>
  </si>
  <si>
    <t>2=1=1=3=4</t>
  </si>
  <si>
    <t>cf=j=2072÷073 sf nflu k|:tfljt cfo  ljj/)f</t>
  </si>
  <si>
    <t>/hLi6]|zg /fh:j afkt</t>
  </si>
  <si>
    <t>;Ld g]kfn af6 ;FrfnLt sfo{s|d</t>
  </si>
  <si>
    <t>6=05=18</t>
  </si>
  <si>
    <t>lh=lj=;=emfkf af6 tf]lsPsf sfo{s|d ;+rfng vr{</t>
  </si>
  <si>
    <t>Pn=hL=;L=8L=kL cfO{;L6L ef]n]G6Lo; kf/L&gt;lds tyf  ljleGg sfo{s|d ;+rfng</t>
  </si>
  <si>
    <t>k|j4{gfTds sfo{s|d #^ k|ltzt</t>
  </si>
  <si>
    <t>af?0foGq ;Frfng tyf Joj:yfkg</t>
  </si>
  <si>
    <t>ofGqLs ;fwg ;Frfng tyf Joj:yfkg</t>
  </si>
  <si>
    <t>6=05=19</t>
  </si>
  <si>
    <t>6=05=20</t>
  </si>
  <si>
    <t>2=1=1=3=5</t>
  </si>
  <si>
    <t xml:space="preserve">cf=a= 069÷070 sf] :jLs[t cfo </t>
  </si>
  <si>
    <t xml:space="preserve">cf=a= 069÷070 sf] :jLs[t Joo </t>
  </si>
  <si>
    <t xml:space="preserve">cf=a= 069÷070 h]i&amp; d;fGt ;Ddsf] cfo </t>
  </si>
  <si>
    <t xml:space="preserve">cf=a= 069÷070 h]i&amp; d;fGt ;Ddsf] Joo </t>
  </si>
  <si>
    <t xml:space="preserve">cf=a= 069÷070 cfiff( d;fGt ;Ddsf] cfo </t>
  </si>
  <si>
    <t>2=1=1=1=1</t>
  </si>
  <si>
    <t>2=1=1=1=2</t>
  </si>
  <si>
    <t>2=1=1=2=1</t>
  </si>
  <si>
    <t>lgzt{ rfn' cg'bfg #^%*)##</t>
  </si>
  <si>
    <t>2=1=1=2=2</t>
  </si>
  <si>
    <t>2=1=1=2=3</t>
  </si>
  <si>
    <t>2=1=1=1=3</t>
  </si>
  <si>
    <t>zx/L zf;sLo Ifdtf ljsf; k'hLut #$&amp;*)$#</t>
  </si>
  <si>
    <t>:yfgLo zf\GtL ;ldlt #$(*)!#</t>
  </si>
  <si>
    <t>lgzt{ cg'bfg bdsn ;+rfng</t>
  </si>
  <si>
    <t>1=7=9</t>
  </si>
  <si>
    <t>1=7=10</t>
  </si>
  <si>
    <t>;DklQ s/ Joj:yfkg ;]jf ;'Ns</t>
  </si>
  <si>
    <t>af?0foGq Joj:yfkg ;]jf ;'Ns</t>
  </si>
  <si>
    <t>cf=a= 069÷070 sf] ;+;f]wLt cg'dfg</t>
  </si>
  <si>
    <t xml:space="preserve">cf=a= 069÷070 cfiff( d;fGt ;Ddsf] Joo </t>
  </si>
  <si>
    <t>cGo gub cg'bfg -hu]8f sf]]if :yf=lj=d=_</t>
  </si>
  <si>
    <t>:yfgLo ljsf; z'Ns lgzt{ - rfn' @^#!! _</t>
  </si>
  <si>
    <t>:yfgLo ljsf; z'Ns ;zt{ - k"hLut @^#@@ _</t>
  </si>
  <si>
    <t>cGo b:t'/ k~hLs/0f h/Ljfgf</t>
  </si>
  <si>
    <t>2=1=1=5</t>
  </si>
  <si>
    <t>2=1=1=5=1</t>
  </si>
  <si>
    <t>2=1=1=5=2</t>
  </si>
  <si>
    <t>7=1=4</t>
  </si>
  <si>
    <t>7=1=5</t>
  </si>
  <si>
    <t>zzt{ cg'bfg k|j]z4f/</t>
  </si>
  <si>
    <t>zzt{ cg'bfg uf]s'n dfu{</t>
  </si>
  <si>
    <t>cGo gub cg'bfg - ;8s af]8{ &amp;)÷&amp;!_</t>
  </si>
  <si>
    <t>cf=a= 070÷071 sf]  cg'dflgt Joo</t>
  </si>
  <si>
    <t>zx/L zf;sLo Ifdtf ljsf; rfn'  #$&amp;#!^#</t>
  </si>
  <si>
    <t xml:space="preserve">cf=a= 070÷071 sf] ;+;f]lwt cg'dflgt cfo </t>
  </si>
  <si>
    <t>cf=j=2070÷071 cfiff* d;fGt ;Ddsf] cfo ljj/)f</t>
  </si>
  <si>
    <t>cf=j=2070÷071 cfiff* d;fGt ;Ddsf] Joo ljj/)f</t>
  </si>
  <si>
    <t xml:space="preserve">cf=a= 071÷072 sf] ;+;f]lwt cg'dfg cfo </t>
  </si>
  <si>
    <t>C0f -:jb]zL_ g=lj=sf]if uf]s'n dfu{</t>
  </si>
  <si>
    <t>C0f -:jb]zL_ g=lj=sf]if a;kfs{</t>
  </si>
  <si>
    <t>C0f -:jb]zL_ g=lj=sf]if  k|j]z4f/</t>
  </si>
  <si>
    <t>2071 sflt{s d;fGt ;Ddsf] Joo ljj/)f</t>
  </si>
  <si>
    <t>s[ifL ;8s</t>
  </si>
  <si>
    <t>b}ljs k|sf]k sf]if</t>
  </si>
  <si>
    <t>nIfLt sfo{s|d nflu</t>
  </si>
  <si>
    <t>lzIfs lzlIfsf kfl/&gt;lds tyf cGo ;'ljwf</t>
  </si>
  <si>
    <t>j[Iff/]fk0f sfo{qmd</t>
  </si>
  <si>
    <t>sfof{Nfo ljB't Joj:yfkgsf nflu 6|fG;km/d/ vl/b</t>
  </si>
  <si>
    <t>jf?0foGq tyf OGwg</t>
  </si>
  <si>
    <t>;fj{hlgs ;'g'jfO{, ;fdflhs kl/If0f, k|efj d"Nof+sg</t>
  </si>
  <si>
    <t>klqsf, /]l8of] sfo{qmd pTkfbg, k|sfzg / k|zf/0f</t>
  </si>
  <si>
    <t>2071 sflt{s d;fGt ;Ddsf] oyf{y cfo ljj/)f</t>
  </si>
  <si>
    <t xml:space="preserve">cf=a= 071÷072 sf] cg'dfg cfo </t>
  </si>
  <si>
    <t xml:space="preserve">cf=a= 072÷073 sf] cg'dfg cfo </t>
  </si>
  <si>
    <t>gu/ ljsf; of]hgf tyf j'n]l6g k|sfzg</t>
  </si>
  <si>
    <t>ejg ;+lxtf @)^) sfof{Gjog sfo{qmd</t>
  </si>
  <si>
    <t>;8s dfOn:6f]g tyf jf]8l/+u sfo{qmd</t>
  </si>
  <si>
    <t>lhcfOP; sfof{Gjog tyf ;"rgf zfvf Joj:yfkg</t>
  </si>
  <si>
    <t>kz'xf6 z'Ns c;'nL sfp06/ lgdf{0f</t>
  </si>
  <si>
    <t>ul/jL lgjf/0f tyf ;fdflhs kl/rfng sf]if</t>
  </si>
  <si>
    <t>gu/ k|x/L tyf jf/0foGq sd{rf/L tnj cGo ;'ljwf</t>
  </si>
  <si>
    <t>cfGt/Ls cfo j[l4 sfo{qmd /fhZj k|If]k0f, s/bftf lzIff, Joj;flos ljdf sfo{qmd</t>
  </si>
  <si>
    <t>6=05=1</t>
  </si>
  <si>
    <t>6=05=2</t>
  </si>
  <si>
    <t>6=05=3</t>
  </si>
  <si>
    <t>6=05=4</t>
  </si>
  <si>
    <t>6=05=5</t>
  </si>
  <si>
    <t>6=05=6</t>
  </si>
  <si>
    <t>6=05=7</t>
  </si>
  <si>
    <t>6=05=8</t>
  </si>
  <si>
    <t>6=05=9</t>
  </si>
  <si>
    <t>6=05=10</t>
  </si>
  <si>
    <t>6=05=11</t>
  </si>
  <si>
    <t>6=08=1</t>
  </si>
  <si>
    <t>6=08=2</t>
  </si>
  <si>
    <t>6=08=3</t>
  </si>
  <si>
    <t>6=08=4</t>
  </si>
  <si>
    <t>6=08=5</t>
  </si>
  <si>
    <t>6=08=6</t>
  </si>
  <si>
    <t>6=08=7</t>
  </si>
  <si>
    <t>6=08=8</t>
  </si>
  <si>
    <t>6=08=9</t>
  </si>
  <si>
    <t>6=08=10</t>
  </si>
  <si>
    <t>6=08=11</t>
  </si>
  <si>
    <t>6=08=12</t>
  </si>
  <si>
    <t>6=08=13</t>
  </si>
  <si>
    <t>6=08=14</t>
  </si>
  <si>
    <t>lhNnf hg:jf:Yo sfof{no ejg lgdf{0f tyf ;F cg'bfg</t>
  </si>
  <si>
    <t>6=10</t>
  </si>
  <si>
    <t>2=2=1=5</t>
  </si>
  <si>
    <t>2=2=1=6</t>
  </si>
  <si>
    <t>2=2=1=7</t>
  </si>
  <si>
    <t>2=2=1=8</t>
  </si>
  <si>
    <t>2=2=1=9</t>
  </si>
  <si>
    <t>2=2=1=10</t>
  </si>
  <si>
    <t>2=2=1=11</t>
  </si>
  <si>
    <t>a}s lx;fj )!)^÷!!­$##@</t>
  </si>
  <si>
    <t>:yfgLo s/</t>
  </si>
  <si>
    <t>cGo cfo</t>
  </si>
  <si>
    <t>af+ls aSof}tf c;'nL</t>
  </si>
  <si>
    <t>cg'bfg</t>
  </si>
  <si>
    <t>hDdf</t>
  </si>
  <si>
    <t xml:space="preserve">cf=a= 068÷069 cfiff( d;fGt ;Dd sf] oyf{y cfo </t>
  </si>
  <si>
    <t>/fh:j af8kmf8af6 cfo</t>
  </si>
  <si>
    <t>ef8f tyf axfnaf6 cfo -;6/ tyf d]zLg/L af6_</t>
  </si>
  <si>
    <t>eQf</t>
  </si>
  <si>
    <t>sd{rf/L eQf</t>
  </si>
  <si>
    <t>dd{t tyf ;Def/</t>
  </si>
  <si>
    <t>;jf/L Ogwg</t>
  </si>
  <si>
    <t>ljljw vr{</t>
  </si>
  <si>
    <t xml:space="preserve">k'/:sf/ </t>
  </si>
  <si>
    <t>;jf/L ;fwg</t>
  </si>
  <si>
    <t xml:space="preserve">cf=a= 068÷069 sf] cg'dflgt cfo </t>
  </si>
  <si>
    <t xml:space="preserve">cf=a= 068÷069 cfiff( d;fGt ;Dd sf] oyf{y Joo </t>
  </si>
  <si>
    <t xml:space="preserve">d]rLgu/  gu/kflnsf  sfof{no </t>
  </si>
  <si>
    <t>;jf/L btf{ tyf aflif{s ;jf/L s/</t>
  </si>
  <si>
    <t>;]jf z'Ns</t>
  </si>
  <si>
    <t>;|f]t kl/rfng</t>
  </si>
  <si>
    <t>cGo gub cg'bfg</t>
  </si>
  <si>
    <t>cGo cg'bfg</t>
  </si>
  <si>
    <t>;+s]t g+=</t>
  </si>
  <si>
    <t>cfo zLif{s</t>
  </si>
  <si>
    <t>cfGtl/s &gt;f]t</t>
  </si>
  <si>
    <t>dfnkf]t tyf e"ld s/</t>
  </si>
  <si>
    <t>3/ hUuf s/</t>
  </si>
  <si>
    <t>axfn s/</t>
  </si>
  <si>
    <t xml:space="preserve">lj6f}/L s/ </t>
  </si>
  <si>
    <t>Joj;fo s/</t>
  </si>
  <si>
    <t>;jf/L s/</t>
  </si>
  <si>
    <t>k6s] ;jf/L s/</t>
  </si>
  <si>
    <t xml:space="preserve">;DklQ s/ </t>
  </si>
  <si>
    <t xml:space="preserve">lj1fkg s/ </t>
  </si>
  <si>
    <t xml:space="preserve">;jf/L kfls{ª z'Ns </t>
  </si>
  <si>
    <t>;8s af]8{ g]kfn af6 ;+rfnLt dd{t sfo{</t>
  </si>
  <si>
    <t>cf=j=2072÷073 sf nflu k|:tfljt Joo  ljj/)f</t>
  </si>
  <si>
    <t>w'nfjf/L xf^ jhf/ ;]* lgdf{)f cw'/f]</t>
  </si>
  <si>
    <t>Kof/Lle§f j;kfs{ ;le{; ;]G^/ ;lxt</t>
  </si>
  <si>
    <t>uf]s'ndfu{ *&lt;]g tyf sfnf] kq]</t>
  </si>
  <si>
    <t>sdnrf]saf^ yf]Kn] lj/fg x'b} g}gfvfn hfg] af^f]df k'n lgdf{)F</t>
  </si>
  <si>
    <t>;'j)f{ dfu{ sfnf] kq] tyf *&lt;]g</t>
  </si>
  <si>
    <t>6=05=1=1</t>
  </si>
  <si>
    <t>6=05=1=2</t>
  </si>
  <si>
    <t>6=05=1=3</t>
  </si>
  <si>
    <t>6=05=1=4</t>
  </si>
  <si>
    <t>6=05=1=5</t>
  </si>
  <si>
    <t>zflGtrf]sjf^ bg'jf/j:tL hfg] jf^f] sfnf]kq]</t>
  </si>
  <si>
    <t>lqkmnf klZrd pQ/ ^}S;L :^\of)* pQ/ x'b} lgGbf ^f]n / xg'dfg ^f]n;Dd ljB't lj:tf/</t>
  </si>
  <si>
    <t>b'jfu(L l;dfgfaf^ wfOhg j*f g+= 1 hf]*\g] jf^f] u|fe]n</t>
  </si>
  <si>
    <t>gu/*'Aaf e"ldut ;tx k}gL d'xfg lgdf{)f</t>
  </si>
  <si>
    <t>dxfgGb rf]sb]lv %ljnfn vltj*fsf] #/;Dd *&lt;]g / u|fe]n</t>
  </si>
  <si>
    <t>j]b k|;fb vgfnsf] #/b]lv l^dfO{ k'n x'b} w'nfjf/L jhf/;Ddsf] ;*s sfnf]kq]</t>
  </si>
  <si>
    <t>b]ljvf]nf :Nofk sNe{^ lgdf{)f</t>
  </si>
  <si>
    <t>z'efif lrdl/ofsf] #/ blIf)f l/é/f]* u|fe]lné</t>
  </si>
  <si>
    <t>pQ/ b]lj emf]*f k}gL dd{t</t>
  </si>
  <si>
    <t>;+udrf]s 80 ld= dfyL jf^f] sfnf]kq]</t>
  </si>
  <si>
    <t>x/L g]kfnsf] #/k"j{ *&lt;]g lgdf{)f</t>
  </si>
  <si>
    <t>ltglt/] rf]s blIf)f x'b} l;$fy{ rf]s;Dd u|fe]n</t>
  </si>
  <si>
    <t>cfbz{ dfu{ pQ/ hfg] / ;'s'Djf;L dfu{ u|fe]n</t>
  </si>
  <si>
    <t>jf#] tyf b]p/fnL k}gL jfw lgdf{)f</t>
  </si>
  <si>
    <t>#f]*flhg ^f]n l;rfO{ sfo{qmd</t>
  </si>
  <si>
    <t>dbg cfl&gt;t dfu{ :t/j[l$</t>
  </si>
  <si>
    <t>sfnL dlGb/ :Nofj Sne{^ lgdf{)f</t>
  </si>
  <si>
    <t>w'j|/fO{sf] #/ %]p sNe{^ lgdf{)f</t>
  </si>
  <si>
    <t>6=05=6=1</t>
  </si>
  <si>
    <t>6=05=6=2</t>
  </si>
  <si>
    <t>6=05=6=3</t>
  </si>
  <si>
    <t>6=05=6=4</t>
  </si>
  <si>
    <t>6=05=6=5</t>
  </si>
  <si>
    <t>6=05=6=6</t>
  </si>
  <si>
    <t>6=05=6=7</t>
  </si>
  <si>
    <t>6=05=6=8</t>
  </si>
  <si>
    <t>6=05=6=9</t>
  </si>
  <si>
    <t>6=05=6=10</t>
  </si>
  <si>
    <t>6=05=6=11</t>
  </si>
  <si>
    <t>6=05=6=12</t>
  </si>
  <si>
    <t>6=05=6=13</t>
  </si>
  <si>
    <t>6=05=6=14</t>
  </si>
  <si>
    <t>6=05=6=15</t>
  </si>
  <si>
    <t>6=05=6=16</t>
  </si>
  <si>
    <t>6=05=6=17</t>
  </si>
  <si>
    <t>6=05=6=18</t>
  </si>
  <si>
    <t>dgdf]xg dfu{df *&lt;]g lgdf{)f</t>
  </si>
  <si>
    <t>d]rLk'n blIf)f efG;fvf]nf ;*s ;tx (n lgdf{)f</t>
  </si>
  <si>
    <t>uf]s'n dfu{;+u hf]l*Psf] ;fu/afw dfu{, af;jf/L dfu{, lgjf/)f dfu{  tyf wg]Zj/ dfu{sf] :t/ pGgtL</t>
  </si>
  <si>
    <t>uf]s'n dfu{ k"j{ x'b} cfbz{ dfu{df hf]*\g] af^f] :t/f]GgtL</t>
  </si>
  <si>
    <t>;'j)f{dfu{ pQ/x'b} v/]n ufp+ hfg] ;*s :t/f]GgtL</t>
  </si>
  <si>
    <t>6=05=6=19</t>
  </si>
  <si>
    <t>6=05=6=20</t>
  </si>
  <si>
    <t>6=05=6=21</t>
  </si>
  <si>
    <t>6=05=6=22</t>
  </si>
  <si>
    <t>6=05=6=23</t>
  </si>
  <si>
    <t>j}slNks</t>
  </si>
  <si>
    <t xml:space="preserve">nIfLt sfo{s|d nflu $) k|ltzt dlxnf jfnjfnLsf ljkGg au{ </t>
  </si>
  <si>
    <t>b]jsf]^f kfs{ lrN*&lt;]g kfs{</t>
  </si>
  <si>
    <t>v]ns'b ljsf; sfo{qmd</t>
  </si>
  <si>
    <t>jfnjflnsfsf] k|f]kmfOn</t>
  </si>
  <si>
    <t>jfnSnj v]ns'b ;fdfu|L</t>
  </si>
  <si>
    <t>jfn ljsf; s]Gb| z}lIfs ;fdfu|L</t>
  </si>
  <si>
    <t>:jjf]w ;fwgf s]Gb| jfn ;++/If)f</t>
  </si>
  <si>
    <t>kf;fé Nxfd' :jLldé k'n</t>
  </si>
  <si>
    <t>;';]nL ;flxlTos k|lti&amp;fg</t>
  </si>
  <si>
    <t>zfl//Ls ;';+u&amp;g tflnd</t>
  </si>
  <si>
    <t>l;PkmPnhL cled'vLs/)f</t>
  </si>
  <si>
    <r>
      <t xml:space="preserve">afnafnLsf tkm{ ? </t>
    </r>
    <r>
      <rPr>
        <b/>
        <shadow/>
        <sz val="8"/>
        <rFont val="FONTASY_ HIMALI_ TT"/>
        <family val="5"/>
      </rPr>
      <t>5110000.00</t>
    </r>
  </si>
  <si>
    <r>
      <t xml:space="preserve">dlxnf tkm{  nIoLt ? </t>
    </r>
    <r>
      <rPr>
        <b/>
        <shadow/>
        <sz val="9"/>
        <rFont val="FONTASY_ HIMALI_ TT"/>
        <family val="5"/>
      </rPr>
      <t>3406600.00</t>
    </r>
  </si>
  <si>
    <t>Jo"^Llzog tflnd</t>
  </si>
  <si>
    <t>(fsf^f]kL tfg tflnd</t>
  </si>
  <si>
    <t>l;nfOs^fO{ tflnd</t>
  </si>
  <si>
    <t>gf/L lzk ljsf; s]Gb|</t>
  </si>
  <si>
    <t>jfv|fkfng tflnd</t>
  </si>
  <si>
    <t>j]df};dL t/sf/L v]tL</t>
  </si>
  <si>
    <t>#/]n" lx+;f Go"gLs/)f tflnd</t>
  </si>
  <si>
    <t>dft[[lzz' :ofxf/ s]Gb|</t>
  </si>
  <si>
    <t>dlxnf :jf:Yj :jo+;]ljsf ;fOsn vl/b</t>
  </si>
  <si>
    <t>cfbz{ dlxnf hfu/)f ejg lgdf{)f</t>
  </si>
  <si>
    <t>k|fylds :jf:Yo s]Gb|, k|:t'tL :ofxf/ s]Gb|</t>
  </si>
  <si>
    <t>dlxnf :jf:Yo lzlj/</t>
  </si>
  <si>
    <t>;'wfl/Psf] r'Nxf] -Doflré_</t>
  </si>
  <si>
    <t>Psn dlxnf lzk ljsf; tflnd</t>
  </si>
  <si>
    <t>t]&gt;f] lnlé Ifdtf ljsf; sfo{qmd</t>
  </si>
  <si>
    <t>h])*/ cl*^ tyf jh]l^é tflnd</t>
  </si>
  <si>
    <t>Knfl:^s d'Qm If]q cleofg</t>
  </si>
  <si>
    <t>j[Iff/f]k)f sfo{qmd</t>
  </si>
  <si>
    <t>cGt{/fli^&lt;o gf/L lbj;</t>
  </si>
  <si>
    <t>cGt/kf^L{ dlxnf ;+hfn dlxnf clwsf/ lzIff</t>
  </si>
  <si>
    <t>sDKo"^/ j]l;s tflnd</t>
  </si>
  <si>
    <t>ljkGg ju{ hDdf /sd ? 5090000.00</t>
  </si>
  <si>
    <t>v'Nnf lbzfd'Qm If]q cleofg</t>
  </si>
  <si>
    <t>ckfé ljBfno ;+rfng</t>
  </si>
  <si>
    <t>u)f]z dlGb/ ;+/If)f</t>
  </si>
  <si>
    <t>rf}w/L u|fdyfg sDkfp)*jfn</t>
  </si>
  <si>
    <t>ls/ft o'df dfélxd ;+/If)f</t>
  </si>
  <si>
    <t>ls/ft]Zj/ dfélxd ;+/If)f</t>
  </si>
  <si>
    <t>sj/j:tL ;*s :t/Ggf]tL</t>
  </si>
  <si>
    <t>;s]nfyfg sDkfp)*afn lgdf{)f</t>
  </si>
  <si>
    <t>g]kfn clx+;fjfbL jf]$ u'Djf sDkfp)* jfn</t>
  </si>
  <si>
    <t>h]i&amp; gful/s ;Ddfg sfo{qmd</t>
  </si>
  <si>
    <t>hgcfGbf]ng #fOt] uf]kfn &gt;]i&amp; lgjf{x vr{</t>
  </si>
  <si>
    <t>e'd]yfg lgdf{)f</t>
  </si>
  <si>
    <t>h]i&amp; gful/s e]^#f^ rf}tf/L lgdf{)f</t>
  </si>
  <si>
    <t>w'nfjf/L b'uf{ dlGb/ ;+:s[lt ;+/If)f</t>
  </si>
  <si>
    <t>gsnjGbf b'uf{ dlGb/ ;+:s[lt ;+/If)f</t>
  </si>
  <si>
    <t>j*fut of]ufWofg s]Gb| ;+rfng</t>
  </si>
  <si>
    <t>dxfgGb k|f=lj= zf}rfno lgdf{)f</t>
  </si>
  <si>
    <t>%fqj[lt sfo{qmd</t>
  </si>
  <si>
    <t>efiff ;+:s[lt ;+/If)f</t>
  </si>
  <si>
    <t>blnt lzk ljsf; tflnd-l;nfO{{, kmnfd tyf h'Qf rKkn_</t>
  </si>
  <si>
    <t>db/;f ;+/If)f</t>
  </si>
  <si>
    <t>%&amp; k'hf #f^ lgdf{)f</t>
  </si>
  <si>
    <t>Eo" ^fj/ ;+efJotf cWoog</t>
  </si>
  <si>
    <t>v'§L*fuL ;fd'bflos jg lrN*&lt;]g kfs{</t>
  </si>
  <si>
    <t>yf]Kn]lj/fg ;f'dbflos jg lkslgs :k^</t>
  </si>
  <si>
    <t>ul/jL lgjf/)f tyf ;fdflhs kl/rfng sf]if</t>
  </si>
  <si>
    <t>w'nfjf/L k|x/L rf}sL hUuf vl/b</t>
  </si>
  <si>
    <t>uf];vfg :n^/ xfp; lgdf{)f</t>
  </si>
  <si>
    <r>
      <t>u]6 Jo'6LkmLs]zg</t>
    </r>
    <r>
      <rPr>
        <shadow/>
        <sz val="14"/>
        <rFont val="Himalli"/>
      </rPr>
      <t xml:space="preserve"> C0f,cg'bfg tyf DofrLuF km08 af6 ;+rfnLt</t>
    </r>
  </si>
  <si>
    <r>
      <t>uf]s'n dfu</t>
    </r>
    <r>
      <rPr>
        <shadow/>
        <sz val="14"/>
        <rFont val="Himalli"/>
      </rPr>
      <t>{ C0f,cg'bfg tyf DofrLuF km08 af6 ;FrfnLt</t>
    </r>
  </si>
  <si>
    <t>6=05=7=1</t>
  </si>
  <si>
    <t>6=05=7=2</t>
  </si>
  <si>
    <t>6=05=7=1=1</t>
  </si>
  <si>
    <t>6=05=7=1=2</t>
  </si>
  <si>
    <t>6=05=7=1=3</t>
  </si>
  <si>
    <t>6=05=7=1=4</t>
  </si>
  <si>
    <t>6=05=7=1=5</t>
  </si>
  <si>
    <t>6=05=7=1=6</t>
  </si>
  <si>
    <t>6=05=7=1=7</t>
  </si>
  <si>
    <t>6=05=7=1=8</t>
  </si>
  <si>
    <t>6=05=7=1=9</t>
  </si>
  <si>
    <t>6=05=7=1=10</t>
  </si>
  <si>
    <t>6=05=7=3</t>
  </si>
  <si>
    <t>6=05=7=2=1</t>
  </si>
  <si>
    <t>6=05=7=2=2</t>
  </si>
  <si>
    <t>6=05=7=2=3</t>
  </si>
  <si>
    <t>6=05=7=2=4</t>
  </si>
  <si>
    <t>6=05=7=2=5</t>
  </si>
  <si>
    <t>6=05=7=2=6</t>
  </si>
  <si>
    <t>6=05=7=2=7</t>
  </si>
  <si>
    <t>6=05=7=2=8</t>
  </si>
  <si>
    <t>6=05=7=2=9</t>
  </si>
  <si>
    <t>6=05=7=2=10</t>
  </si>
  <si>
    <t>6=05=7=2=11</t>
  </si>
  <si>
    <t>6=05=7=2=12</t>
  </si>
  <si>
    <t>6=05=7=2=13</t>
  </si>
  <si>
    <t>6=05=7=2=14</t>
  </si>
  <si>
    <t>6=05=7=2=15</t>
  </si>
  <si>
    <t>6=05=7=2=16</t>
  </si>
  <si>
    <t>6=05=7=2=17</t>
  </si>
  <si>
    <t>6=05=7=2=18</t>
  </si>
  <si>
    <t>6=05=7=2=19</t>
  </si>
  <si>
    <t>6=05=7=2=20</t>
  </si>
  <si>
    <t>6=05=7=2=21</t>
  </si>
  <si>
    <t>6=05=7=3=1</t>
  </si>
  <si>
    <t>6=05=7=3=2</t>
  </si>
  <si>
    <t>6=05=7=3=3</t>
  </si>
  <si>
    <t>6=05=7=3=4</t>
  </si>
  <si>
    <t>6=05=7=3=5</t>
  </si>
  <si>
    <t>6=05=7=3=6</t>
  </si>
  <si>
    <t>6=05=7=3=7</t>
  </si>
  <si>
    <t>6=05=7=3=8</t>
  </si>
  <si>
    <t>6=05=7=3=9</t>
  </si>
  <si>
    <t>6=05=7=3=10</t>
  </si>
  <si>
    <t>6=05=7=3=11</t>
  </si>
  <si>
    <t>6=05=7=3=12</t>
  </si>
  <si>
    <t>6=05=7=3=13</t>
  </si>
  <si>
    <t>6=05=7=3=14</t>
  </si>
  <si>
    <t>6=05=7=3=15</t>
  </si>
  <si>
    <t>6=05=7=3=16</t>
  </si>
  <si>
    <t>6=05=7=3=17</t>
  </si>
  <si>
    <t>6=05=7=3=18</t>
  </si>
  <si>
    <t>6=05=7=3=19</t>
  </si>
  <si>
    <t>6=05=7=3=20</t>
  </si>
  <si>
    <t>6=05=7=3=21</t>
  </si>
  <si>
    <t>6=05=7=3=22</t>
  </si>
  <si>
    <t>6=05=8=1</t>
  </si>
  <si>
    <t>6=05=8=2</t>
  </si>
  <si>
    <t>6=05=8=3</t>
  </si>
  <si>
    <t>6=05=8=4</t>
  </si>
  <si>
    <t>6=05=8=5</t>
  </si>
  <si>
    <t>6=05=8=6</t>
  </si>
  <si>
    <t>;fj{hlgs ;'ljwf pkof]u ;]jfz'Ns</t>
  </si>
  <si>
    <t>:yfgLo ljsf; z'Ns</t>
  </si>
  <si>
    <t xml:space="preserve">b:t'/ </t>
  </si>
  <si>
    <t>btf{ tyf gjLs/0f b:t'/</t>
  </si>
  <si>
    <t xml:space="preserve">gS;f kf; b:t"/ </t>
  </si>
  <si>
    <t>l;kmfl/z tyf aS;f}gL b:t'/</t>
  </si>
  <si>
    <t>gftf k|dfl0ft b:t'/</t>
  </si>
  <si>
    <t>;fj{hlgs lghL ;fem]bf/L</t>
  </si>
  <si>
    <t xml:space="preserve">;fFjf, Jofh, nfef+z / jf]g; </t>
  </si>
  <si>
    <t xml:space="preserve">;fFjf lkmtf{ </t>
  </si>
  <si>
    <t>Jofhaf6 cfo</t>
  </si>
  <si>
    <t xml:space="preserve">nfef+z </t>
  </si>
  <si>
    <t>b08 hl/jfgf</t>
  </si>
  <si>
    <t xml:space="preserve">w/f}6L lkmtf{ </t>
  </si>
  <si>
    <t xml:space="preserve">k]ZsL lkmtf{ </t>
  </si>
  <si>
    <t>cGo ljljw cfo</t>
  </si>
  <si>
    <t>Affxo ;|f]t</t>
  </si>
  <si>
    <t xml:space="preserve">g]kfn;/sf/af6 cg'bfg </t>
  </si>
  <si>
    <t xml:space="preserve">zzt{ cg'bfg </t>
  </si>
  <si>
    <t xml:space="preserve">lgzt{ cg'bfg </t>
  </si>
  <si>
    <t xml:space="preserve">j:t'ut cg'bfg </t>
  </si>
  <si>
    <t>lhNnf ljsf; ;ldlt cg'bfg</t>
  </si>
  <si>
    <t>cGo lgsfojf6 k|fKt cg'bfg</t>
  </si>
  <si>
    <t>j:t'ut cg'bfg tyf k|fljlws ;xfotf</t>
  </si>
  <si>
    <t>j:t'ut ;xfotf</t>
  </si>
  <si>
    <t>k|fljlws ;xfotf</t>
  </si>
  <si>
    <t>;|f]t pkof]u s/af6 afF8kmfF8</t>
  </si>
  <si>
    <t>j}b]lzs ;xfotf</t>
  </si>
  <si>
    <t>C0f tyf ;fk6L</t>
  </si>
  <si>
    <t>a}+s C0f -:jb]zL_</t>
  </si>
  <si>
    <t>ljb]zL C0f</t>
  </si>
  <si>
    <t xml:space="preserve">;fk6L </t>
  </si>
  <si>
    <t xml:space="preserve">rGbf, bfg, pkxf/ </t>
  </si>
  <si>
    <t>gu/kflnsf sf]if</t>
  </si>
  <si>
    <t>cGo sf]ifx?</t>
  </si>
  <si>
    <t>e'StfgL lbg'kg]{ /sdx?</t>
  </si>
  <si>
    <t>k|fjwfgx?</t>
  </si>
  <si>
    <t>e'QmfgL kfpg'kg]{ /sdx?</t>
  </si>
  <si>
    <t>k]ZsL lx;fj</t>
  </si>
  <si>
    <t>z"? lhlG; df}Hbft</t>
  </si>
  <si>
    <t>a}s lx;fj</t>
  </si>
  <si>
    <t>cfDbfgL vr{sf] lx;fj</t>
  </si>
  <si>
    <t>cf=a= 071÷072 sf] cg'dfgLt Joo</t>
  </si>
  <si>
    <t>af=vl/bdf ^@,)),)))</t>
  </si>
</sst>
</file>

<file path=xl/styles.xml><?xml version="1.0" encoding="utf-8"?>
<styleSheet xmlns="http://schemas.openxmlformats.org/spreadsheetml/2006/main">
  <numFmts count="1">
    <numFmt numFmtId="166" formatCode="##,###.00"/>
  </numFmts>
  <fonts count="85">
    <font>
      <sz val="10"/>
      <name val="Arial"/>
    </font>
    <font>
      <b/>
      <sz val="8"/>
      <name val="FONTASY_HIMALI_TT"/>
      <family val="5"/>
    </font>
    <font>
      <b/>
      <sz val="10"/>
      <name val="FONTASY_ HIMALI_ TT"/>
      <family val="5"/>
    </font>
    <font>
      <sz val="12"/>
      <name val="FONTASY_HIMALI_TT"/>
      <family val="5"/>
    </font>
    <font>
      <sz val="14"/>
      <name val="Himalli"/>
    </font>
    <font>
      <b/>
      <shadow/>
      <sz val="14"/>
      <name val="Himalli"/>
    </font>
    <font>
      <shadow/>
      <sz val="14"/>
      <name val="Himalli"/>
    </font>
    <font>
      <b/>
      <sz val="14"/>
      <name val="Himalli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FONTASY_ HIMALI_ TT"/>
      <family val="5"/>
    </font>
    <font>
      <b/>
      <sz val="12"/>
      <name val="FONTASY_ HIMALI_ TT"/>
      <family val="5"/>
    </font>
    <font>
      <b/>
      <shadow/>
      <sz val="12"/>
      <name val="Himalli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Himalli"/>
    </font>
    <font>
      <shadow/>
      <sz val="12"/>
      <name val="Himalli"/>
    </font>
    <font>
      <b/>
      <shadow/>
      <sz val="9"/>
      <name val="FONTASY_ HIMALI_ TT"/>
      <family val="5"/>
    </font>
    <font>
      <shadow/>
      <sz val="9"/>
      <name val="FONTASY_ HIMALI_ TT"/>
      <family val="5"/>
    </font>
    <font>
      <sz val="10"/>
      <name val="Arial"/>
      <family val="2"/>
    </font>
    <font>
      <sz val="12"/>
      <name val="Shangrila Numeric"/>
    </font>
    <font>
      <b/>
      <sz val="20"/>
      <name val="Himalli"/>
    </font>
    <font>
      <b/>
      <sz val="18"/>
      <name val="Himalli"/>
    </font>
    <font>
      <sz val="10"/>
      <name val="FONTASY_HIMALI_TT"/>
      <family val="5"/>
    </font>
    <font>
      <sz val="9"/>
      <name val="FONTASY_HIMALI_TT"/>
      <family val="5"/>
    </font>
    <font>
      <b/>
      <sz val="12"/>
      <name val="Shangrila Numeric"/>
    </font>
    <font>
      <sz val="14"/>
      <name val="Shangrila Numeric"/>
    </font>
    <font>
      <sz val="14"/>
      <name val="Arial"/>
      <family val="2"/>
    </font>
    <font>
      <sz val="12"/>
      <name val="FONTASY_ HIMALI_ TT"/>
      <family val="5"/>
    </font>
    <font>
      <b/>
      <shadow/>
      <sz val="18"/>
      <name val="FONTASY_ HIMALI_ TT"/>
      <family val="5"/>
    </font>
    <font>
      <b/>
      <shadow/>
      <sz val="12"/>
      <name val="FONTASY_ HIMALI_ TT"/>
      <family val="5"/>
    </font>
    <font>
      <shadow/>
      <sz val="12"/>
      <name val="FONTASY_ HIMALI_ TT"/>
      <family val="5"/>
    </font>
    <font>
      <b/>
      <shadow/>
      <sz val="20"/>
      <name val="FONTASY_ HIMALI_ TT"/>
      <family val="5"/>
    </font>
    <font>
      <sz val="9"/>
      <name val="FONTASY_ HIMALI_ TT"/>
      <family val="5"/>
    </font>
    <font>
      <shadow/>
      <sz val="8"/>
      <name val="FONTASY_ HIMALI_ TT"/>
      <family val="5"/>
    </font>
    <font>
      <b/>
      <sz val="14"/>
      <name val="Shangrila Numeric"/>
    </font>
    <font>
      <sz val="11"/>
      <name val="Himalli"/>
    </font>
    <font>
      <sz val="16"/>
      <name val="Shangrila Numeric"/>
    </font>
    <font>
      <shadow/>
      <sz val="11"/>
      <name val="FONTASY_ HIMALI_ TT"/>
      <family val="5"/>
    </font>
    <font>
      <b/>
      <sz val="16"/>
      <name val="Shangrila Numeric"/>
    </font>
    <font>
      <sz val="8"/>
      <name val="Arial"/>
      <family val="2"/>
    </font>
    <font>
      <sz val="10"/>
      <name val="Arial"/>
      <family val="2"/>
    </font>
    <font>
      <b/>
      <sz val="11"/>
      <name val="Shangrila Numeric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FONTASY_HIMALI_TT"/>
      <family val="5"/>
    </font>
    <font>
      <shadow/>
      <sz val="10"/>
      <name val="Himalli"/>
    </font>
    <font>
      <b/>
      <shadow/>
      <sz val="8"/>
      <name val="FONTASY_ HIMALI_ TT"/>
      <family val="5"/>
    </font>
    <font>
      <sz val="10"/>
      <name val="PCS NEPALI"/>
      <family val="5"/>
    </font>
    <font>
      <sz val="11"/>
      <name val="PCS NEPALI"/>
      <family val="5"/>
    </font>
    <font>
      <sz val="10"/>
      <name val="Arial"/>
      <family val="2"/>
    </font>
    <font>
      <sz val="9"/>
      <name val="PCS NEPALI"/>
      <family val="5"/>
    </font>
    <font>
      <b/>
      <sz val="11"/>
      <name val="PCS NEPALI"/>
      <family val="5"/>
    </font>
    <font>
      <sz val="10"/>
      <name val="Arial"/>
      <family val="2"/>
    </font>
    <font>
      <b/>
      <shadow/>
      <sz val="9"/>
      <color rgb="FFFF0000"/>
      <name val="FONTASY_ HIMALI_ TT"/>
      <family val="5"/>
    </font>
    <font>
      <b/>
      <shadow/>
      <sz val="14"/>
      <color rgb="FFFF0000"/>
      <name val="Himalli"/>
    </font>
    <font>
      <b/>
      <sz val="12"/>
      <color rgb="FFFF0000"/>
      <name val="Shangrila Numeric"/>
    </font>
    <font>
      <b/>
      <sz val="14"/>
      <color rgb="FFFF0000"/>
      <name val="Shangrila Numeric"/>
    </font>
    <font>
      <b/>
      <sz val="16"/>
      <color rgb="FFFF0000"/>
      <name val="Shangrila Numeric"/>
    </font>
    <font>
      <sz val="16"/>
      <color rgb="FFFF0000"/>
      <name val="Shangrila Numeric"/>
    </font>
    <font>
      <sz val="12"/>
      <color rgb="FFFF0000"/>
      <name val="Shangrila Numeric"/>
    </font>
    <font>
      <shadow/>
      <sz val="14"/>
      <color rgb="FFFF0000"/>
      <name val="Himalli"/>
    </font>
    <font>
      <sz val="14"/>
      <color rgb="FFFF0000"/>
      <name val="Shangrila Numeric"/>
    </font>
    <font>
      <sz val="14"/>
      <color rgb="FFFF0000"/>
      <name val="Arial"/>
      <family val="2"/>
    </font>
    <font>
      <b/>
      <shadow/>
      <sz val="16"/>
      <color rgb="FFFF0000"/>
      <name val="FONTASY_ HIMALI_ TT"/>
      <family val="5"/>
    </font>
    <font>
      <b/>
      <shadow/>
      <sz val="16"/>
      <color rgb="FFFF0000"/>
      <name val="Himalli"/>
    </font>
    <font>
      <b/>
      <shadow/>
      <sz val="14"/>
      <color rgb="FFFF0000"/>
      <name val="FONTASY_ HIMALI_ TT"/>
      <family val="5"/>
    </font>
    <font>
      <sz val="12"/>
      <color rgb="FFFF0000"/>
      <name val="Himalli"/>
    </font>
    <font>
      <b/>
      <shadow/>
      <sz val="9"/>
      <color rgb="FF00B050"/>
      <name val="FONTASY_ HIMALI_ TT"/>
      <family val="5"/>
    </font>
    <font>
      <b/>
      <shadow/>
      <sz val="14"/>
      <color rgb="FF00B050"/>
      <name val="Himalli"/>
    </font>
    <font>
      <b/>
      <sz val="12"/>
      <color rgb="FF00B050"/>
      <name val="Shangrila Numeric"/>
    </font>
    <font>
      <b/>
      <sz val="14"/>
      <color rgb="FF00B050"/>
      <name val="Shangrila Numeric"/>
    </font>
    <font>
      <b/>
      <shadow/>
      <sz val="9"/>
      <color rgb="FF0070C0"/>
      <name val="FONTASY_ HIMALI_ TT"/>
      <family val="5"/>
    </font>
    <font>
      <b/>
      <shadow/>
      <sz val="14"/>
      <color rgb="FF0070C0"/>
      <name val="Himalli"/>
    </font>
    <font>
      <b/>
      <sz val="12"/>
      <color rgb="FF0070C0"/>
      <name val="Shangrila Numeric"/>
    </font>
    <font>
      <b/>
      <sz val="14"/>
      <color rgb="FF0070C0"/>
      <name val="Shangrila Numeric"/>
    </font>
    <font>
      <b/>
      <shadow/>
      <sz val="9"/>
      <color rgb="FF7030A0"/>
      <name val="FONTASY_ HIMALI_ TT"/>
      <family val="5"/>
    </font>
    <font>
      <shadow/>
      <sz val="14"/>
      <color rgb="FF7030A0"/>
      <name val="Himalli"/>
    </font>
    <font>
      <sz val="12"/>
      <color rgb="FF7030A0"/>
      <name val="Shangrila Numeric"/>
    </font>
    <font>
      <sz val="14"/>
      <color rgb="FF7030A0"/>
      <name val="Shangrila Numeric"/>
    </font>
    <font>
      <sz val="16"/>
      <color rgb="FF7030A0"/>
      <name val="Shangrila Numeric"/>
    </font>
    <font>
      <b/>
      <sz val="16"/>
      <color rgb="FF7030A0"/>
      <name val="Shangrila Numeric"/>
    </font>
    <font>
      <sz val="10"/>
      <name val="Preeti"/>
    </font>
    <font>
      <sz val="14"/>
      <name val="Preet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13" fillId="0" borderId="1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wrapText="1"/>
    </xf>
    <xf numFmtId="0" fontId="28" fillId="0" borderId="0" xfId="0" applyFont="1" applyFill="1"/>
    <xf numFmtId="0" fontId="13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wrapText="1"/>
    </xf>
    <xf numFmtId="4" fontId="36" fillId="0" borderId="1" xfId="0" applyNumberFormat="1" applyFont="1" applyFill="1" applyBorder="1" applyAlignment="1">
      <alignment wrapText="1"/>
    </xf>
    <xf numFmtId="0" fontId="28" fillId="0" borderId="1" xfId="0" applyFont="1" applyFill="1" applyBorder="1"/>
    <xf numFmtId="4" fontId="27" fillId="0" borderId="1" xfId="0" applyNumberFormat="1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/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4" fontId="36" fillId="0" borderId="1" xfId="0" applyNumberFormat="1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/>
    <xf numFmtId="4" fontId="28" fillId="0" borderId="1" xfId="0" applyNumberFormat="1" applyFont="1" applyFill="1" applyBorder="1"/>
    <xf numFmtId="0" fontId="18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left" vertical="top" wrapText="1"/>
    </xf>
    <xf numFmtId="2" fontId="38" fillId="0" borderId="1" xfId="0" applyNumberFormat="1" applyFont="1" applyFill="1" applyBorder="1" applyAlignment="1">
      <alignment wrapText="1"/>
    </xf>
    <xf numFmtId="2" fontId="27" fillId="0" borderId="1" xfId="0" applyNumberFormat="1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3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4" fontId="27" fillId="0" borderId="3" xfId="0" applyNumberFormat="1" applyFont="1" applyFill="1" applyBorder="1" applyAlignment="1">
      <alignment wrapText="1"/>
    </xf>
    <xf numFmtId="4" fontId="28" fillId="0" borderId="3" xfId="0" applyNumberFormat="1" applyFont="1" applyFill="1" applyBorder="1"/>
    <xf numFmtId="4" fontId="28" fillId="0" borderId="0" xfId="0" applyNumberFormat="1" applyFont="1" applyFill="1" applyBorder="1"/>
    <xf numFmtId="2" fontId="38" fillId="0" borderId="0" xfId="0" applyNumberFormat="1" applyFont="1" applyFill="1" applyBorder="1" applyAlignment="1">
      <alignment wrapText="1"/>
    </xf>
    <xf numFmtId="4" fontId="3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top" wrapText="1"/>
    </xf>
    <xf numFmtId="0" fontId="37" fillId="0" borderId="1" xfId="0" applyFont="1" applyFill="1" applyBorder="1" applyAlignment="1">
      <alignment vertical="top" wrapText="1"/>
    </xf>
    <xf numFmtId="4" fontId="26" fillId="0" borderId="1" xfId="0" applyNumberFormat="1" applyFont="1" applyFill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/>
    <xf numFmtId="0" fontId="6" fillId="0" borderId="1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top" wrapText="1"/>
    </xf>
    <xf numFmtId="2" fontId="40" fillId="0" borderId="1" xfId="0" applyNumberFormat="1" applyFont="1" applyFill="1" applyBorder="1" applyAlignment="1">
      <alignment wrapText="1"/>
    </xf>
    <xf numFmtId="0" fontId="9" fillId="0" borderId="0" xfId="0" applyFont="1" applyFill="1"/>
    <xf numFmtId="0" fontId="17" fillId="0" borderId="1" xfId="0" applyFont="1" applyFill="1" applyBorder="1" applyAlignment="1">
      <alignment vertical="center" wrapText="1"/>
    </xf>
    <xf numFmtId="4" fontId="36" fillId="0" borderId="2" xfId="0" applyNumberFormat="1" applyFont="1" applyFill="1" applyBorder="1" applyAlignment="1">
      <alignment horizontal="right" vertical="center"/>
    </xf>
    <xf numFmtId="4" fontId="27" fillId="0" borderId="2" xfId="0" applyNumberFormat="1" applyFont="1" applyFill="1" applyBorder="1" applyAlignment="1">
      <alignment horizontal="right" vertical="center"/>
    </xf>
    <xf numFmtId="4" fontId="27" fillId="0" borderId="2" xfId="0" applyNumberFormat="1" applyFont="1" applyFill="1" applyBorder="1" applyAlignment="1">
      <alignment wrapText="1"/>
    </xf>
    <xf numFmtId="4" fontId="27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9" fillId="0" borderId="0" xfId="0" applyFont="1" applyFill="1" applyAlignment="1">
      <alignment horizontal="left"/>
    </xf>
    <xf numFmtId="0" fontId="42" fillId="0" borderId="0" xfId="0" applyFont="1" applyFill="1"/>
    <xf numFmtId="4" fontId="43" fillId="0" borderId="1" xfId="0" applyNumberFormat="1" applyFont="1" applyFill="1" applyBorder="1" applyAlignment="1">
      <alignment horizontal="right" vertical="center"/>
    </xf>
    <xf numFmtId="0" fontId="42" fillId="0" borderId="1" xfId="0" applyFont="1" applyFill="1" applyBorder="1"/>
    <xf numFmtId="4" fontId="21" fillId="0" borderId="3" xfId="0" applyNumberFormat="1" applyFont="1" applyFill="1" applyBorder="1" applyAlignment="1">
      <alignment horizontal="right" vertical="center"/>
    </xf>
    <xf numFmtId="4" fontId="27" fillId="0" borderId="3" xfId="0" applyNumberFormat="1" applyFont="1" applyFill="1" applyBorder="1" applyAlignment="1">
      <alignment horizontal="right" vertical="center"/>
    </xf>
    <xf numFmtId="4" fontId="21" fillId="0" borderId="5" xfId="0" applyNumberFormat="1" applyFont="1" applyFill="1" applyBorder="1" applyAlignment="1">
      <alignment horizontal="right" vertical="center"/>
    </xf>
    <xf numFmtId="0" fontId="42" fillId="0" borderId="0" xfId="0" applyFont="1" applyFill="1" applyBorder="1"/>
    <xf numFmtId="0" fontId="42" fillId="0" borderId="1" xfId="0" applyFont="1" applyFill="1" applyBorder="1" applyAlignment="1">
      <alignment horizontal="right" wrapText="1"/>
    </xf>
    <xf numFmtId="4" fontId="21" fillId="0" borderId="1" xfId="0" applyNumberFormat="1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 applyProtection="1">
      <alignment horizontal="right" vertical="center"/>
      <protection locked="0"/>
    </xf>
    <xf numFmtId="4" fontId="42" fillId="0" borderId="0" xfId="0" applyNumberFormat="1" applyFont="1" applyFill="1"/>
    <xf numFmtId="0" fontId="42" fillId="0" borderId="0" xfId="0" applyFont="1" applyFill="1" applyAlignment="1">
      <alignment horizontal="center" vertical="center"/>
    </xf>
    <xf numFmtId="4" fontId="21" fillId="0" borderId="1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wrapText="1"/>
    </xf>
    <xf numFmtId="2" fontId="42" fillId="0" borderId="0" xfId="0" applyNumberFormat="1" applyFont="1" applyFill="1"/>
    <xf numFmtId="2" fontId="27" fillId="0" borderId="0" xfId="0" applyNumberFormat="1" applyFont="1" applyFill="1" applyBorder="1" applyAlignment="1">
      <alignment wrapText="1"/>
    </xf>
    <xf numFmtId="2" fontId="38" fillId="0" borderId="1" xfId="0" applyNumberFormat="1" applyFont="1" applyFill="1" applyBorder="1" applyAlignment="1">
      <alignment horizontal="right" wrapText="1"/>
    </xf>
    <xf numFmtId="0" fontId="25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2" fontId="46" fillId="0" borderId="1" xfId="0" applyNumberFormat="1" applyFont="1" applyFill="1" applyBorder="1" applyAlignment="1">
      <alignment vertical="center" wrapText="1"/>
    </xf>
    <xf numFmtId="2" fontId="3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4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horizontal="right"/>
    </xf>
    <xf numFmtId="2" fontId="50" fillId="0" borderId="1" xfId="0" applyNumberFormat="1" applyFont="1" applyFill="1" applyBorder="1" applyAlignment="1">
      <alignment horizontal="right" vertical="center"/>
    </xf>
    <xf numFmtId="2" fontId="51" fillId="0" borderId="0" xfId="0" applyNumberFormat="1" applyFont="1" applyFill="1"/>
    <xf numFmtId="0" fontId="51" fillId="0" borderId="0" xfId="0" applyFont="1" applyFill="1"/>
    <xf numFmtId="2" fontId="50" fillId="0" borderId="1" xfId="0" applyNumberFormat="1" applyFont="1" applyFill="1" applyBorder="1" applyAlignment="1">
      <alignment horizontal="right"/>
    </xf>
    <xf numFmtId="0" fontId="49" fillId="0" borderId="1" xfId="0" applyFont="1" applyFill="1" applyBorder="1" applyAlignment="1">
      <alignment horizontal="left" wrapText="1"/>
    </xf>
    <xf numFmtId="0" fontId="52" fillId="0" borderId="1" xfId="0" applyFont="1" applyFill="1" applyBorder="1"/>
    <xf numFmtId="0" fontId="52" fillId="0" borderId="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wrapText="1"/>
    </xf>
    <xf numFmtId="0" fontId="52" fillId="0" borderId="1" xfId="0" applyFont="1" applyFill="1" applyBorder="1" applyAlignment="1">
      <alignment vertical="top" wrapText="1"/>
    </xf>
    <xf numFmtId="2" fontId="50" fillId="0" borderId="0" xfId="0" applyNumberFormat="1" applyFont="1" applyFill="1" applyBorder="1" applyAlignment="1">
      <alignment horizontal="center" vertical="center"/>
    </xf>
    <xf numFmtId="2" fontId="52" fillId="0" borderId="1" xfId="0" applyNumberFormat="1" applyFont="1" applyFill="1" applyBorder="1"/>
    <xf numFmtId="0" fontId="53" fillId="0" borderId="1" xfId="0" applyFont="1" applyFill="1" applyBorder="1"/>
    <xf numFmtId="0" fontId="54" fillId="0" borderId="0" xfId="0" applyFont="1" applyFill="1"/>
    <xf numFmtId="2" fontId="54" fillId="0" borderId="0" xfId="0" applyNumberFormat="1" applyFont="1" applyFill="1"/>
    <xf numFmtId="0" fontId="49" fillId="0" borderId="1" xfId="0" applyFont="1" applyFill="1" applyBorder="1"/>
    <xf numFmtId="0" fontId="50" fillId="0" borderId="1" xfId="0" applyFont="1" applyFill="1" applyBorder="1" applyAlignment="1">
      <alignment horizontal="right"/>
    </xf>
    <xf numFmtId="4" fontId="26" fillId="0" borderId="1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/>
    </xf>
    <xf numFmtId="4" fontId="42" fillId="0" borderId="0" xfId="0" applyNumberFormat="1" applyFont="1" applyFill="1" applyAlignment="1">
      <alignment wrapText="1"/>
    </xf>
    <xf numFmtId="4" fontId="27" fillId="0" borderId="4" xfId="0" applyNumberFormat="1" applyFont="1" applyFill="1" applyBorder="1" applyAlignment="1">
      <alignment wrapText="1"/>
    </xf>
    <xf numFmtId="0" fontId="54" fillId="0" borderId="0" xfId="0" applyFont="1" applyFill="1" applyBorder="1"/>
    <xf numFmtId="0" fontId="51" fillId="0" borderId="0" xfId="0" applyFont="1" applyFill="1" applyBorder="1"/>
    <xf numFmtId="0" fontId="42" fillId="0" borderId="0" xfId="0" applyFont="1" applyFill="1" applyBorder="1" applyAlignment="1">
      <alignment vertical="center"/>
    </xf>
    <xf numFmtId="2" fontId="50" fillId="0" borderId="0" xfId="0" applyNumberFormat="1" applyFont="1" applyFill="1" applyBorder="1" applyAlignment="1">
      <alignment vertical="center"/>
    </xf>
    <xf numFmtId="2" fontId="50" fillId="0" borderId="0" xfId="0" applyNumberFormat="1" applyFont="1" applyFill="1" applyBorder="1"/>
    <xf numFmtId="2" fontId="38" fillId="0" borderId="3" xfId="0" applyNumberFormat="1" applyFont="1" applyFill="1" applyBorder="1" applyAlignment="1">
      <alignment wrapText="1"/>
    </xf>
    <xf numFmtId="2" fontId="38" fillId="0" borderId="4" xfId="0" applyNumberFormat="1" applyFont="1" applyFill="1" applyBorder="1" applyAlignment="1">
      <alignment horizontal="right" wrapText="1"/>
    </xf>
    <xf numFmtId="0" fontId="30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top" wrapText="1"/>
    </xf>
    <xf numFmtId="4" fontId="26" fillId="0" borderId="4" xfId="0" applyNumberFormat="1" applyFont="1" applyFill="1" applyBorder="1" applyAlignment="1">
      <alignment horizontal="right" vertical="center"/>
    </xf>
    <xf numFmtId="4" fontId="21" fillId="0" borderId="4" xfId="0" applyNumberFormat="1" applyFont="1" applyFill="1" applyBorder="1" applyAlignment="1">
      <alignment horizontal="right" vertical="center"/>
    </xf>
    <xf numFmtId="4" fontId="36" fillId="0" borderId="4" xfId="0" applyNumberFormat="1" applyFont="1" applyFill="1" applyBorder="1" applyAlignment="1">
      <alignment horizontal="right" vertical="center"/>
    </xf>
    <xf numFmtId="4" fontId="27" fillId="2" borderId="1" xfId="0" applyNumberFormat="1" applyFont="1" applyFill="1" applyBorder="1" applyAlignment="1">
      <alignment wrapText="1"/>
    </xf>
    <xf numFmtId="0" fontId="49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top"/>
    </xf>
    <xf numFmtId="0" fontId="56" fillId="0" borderId="1" xfId="0" applyFont="1" applyFill="1" applyBorder="1" applyAlignment="1">
      <alignment vertical="top" wrapText="1"/>
    </xf>
    <xf numFmtId="4" fontId="57" fillId="0" borderId="1" xfId="0" applyNumberFormat="1" applyFont="1" applyFill="1" applyBorder="1" applyAlignment="1">
      <alignment horizontal="right" vertical="center"/>
    </xf>
    <xf numFmtId="4" fontId="58" fillId="0" borderId="1" xfId="0" applyNumberFormat="1" applyFont="1" applyFill="1" applyBorder="1" applyAlignment="1">
      <alignment horizontal="right" vertical="center"/>
    </xf>
    <xf numFmtId="2" fontId="59" fillId="0" borderId="1" xfId="0" applyNumberFormat="1" applyFont="1" applyFill="1" applyBorder="1" applyAlignment="1">
      <alignment wrapText="1"/>
    </xf>
    <xf numFmtId="2" fontId="60" fillId="0" borderId="1" xfId="0" applyNumberFormat="1" applyFont="1" applyFill="1" applyBorder="1" applyAlignment="1">
      <alignment wrapText="1"/>
    </xf>
    <xf numFmtId="4" fontId="61" fillId="0" borderId="1" xfId="0" applyNumberFormat="1" applyFont="1" applyFill="1" applyBorder="1" applyAlignment="1">
      <alignment horizontal="right" vertical="center"/>
    </xf>
    <xf numFmtId="0" fontId="62" fillId="0" borderId="1" xfId="0" applyFont="1" applyFill="1" applyBorder="1" applyAlignment="1">
      <alignment vertical="top"/>
    </xf>
    <xf numFmtId="4" fontId="63" fillId="0" borderId="1" xfId="0" applyNumberFormat="1" applyFont="1" applyFill="1" applyBorder="1" applyAlignment="1">
      <alignment horizontal="right" vertical="center"/>
    </xf>
    <xf numFmtId="0" fontId="64" fillId="0" borderId="1" xfId="0" applyFont="1" applyFill="1" applyBorder="1"/>
    <xf numFmtId="0" fontId="65" fillId="0" borderId="1" xfId="0" applyFont="1" applyFill="1" applyBorder="1" applyAlignment="1">
      <alignment horizontal="left" vertical="top"/>
    </xf>
    <xf numFmtId="0" fontId="66" fillId="0" borderId="1" xfId="0" applyFont="1" applyFill="1" applyBorder="1" applyAlignment="1">
      <alignment vertical="top"/>
    </xf>
    <xf numFmtId="4" fontId="59" fillId="0" borderId="1" xfId="0" applyNumberFormat="1" applyFont="1" applyFill="1" applyBorder="1" applyAlignment="1">
      <alignment horizontal="right" vertical="center"/>
    </xf>
    <xf numFmtId="0" fontId="67" fillId="0" borderId="1" xfId="0" applyFont="1" applyFill="1" applyBorder="1" applyAlignment="1">
      <alignment horizontal="left" vertical="top"/>
    </xf>
    <xf numFmtId="0" fontId="68" fillId="0" borderId="1" xfId="0" applyFont="1" applyFill="1" applyBorder="1" applyAlignment="1">
      <alignment horizontal="left" vertical="center" wrapText="1"/>
    </xf>
    <xf numFmtId="2" fontId="60" fillId="0" borderId="1" xfId="0" applyNumberFormat="1" applyFont="1" applyFill="1" applyBorder="1" applyAlignment="1">
      <alignment horizontal="right" vertical="center" wrapText="1"/>
    </xf>
    <xf numFmtId="4" fontId="57" fillId="0" borderId="1" xfId="0" applyNumberFormat="1" applyFont="1" applyFill="1" applyBorder="1" applyAlignment="1">
      <alignment horizontal="right" vertical="center" wrapText="1"/>
    </xf>
    <xf numFmtId="2" fontId="57" fillId="0" borderId="1" xfId="0" applyNumberFormat="1" applyFont="1" applyFill="1" applyBorder="1" applyAlignment="1">
      <alignment horizontal="right" vertical="center" wrapText="1"/>
    </xf>
    <xf numFmtId="0" fontId="69" fillId="0" borderId="1" xfId="0" applyFont="1" applyFill="1" applyBorder="1" applyAlignment="1">
      <alignment horizontal="left" vertical="top"/>
    </xf>
    <xf numFmtId="0" fontId="70" fillId="0" borderId="1" xfId="0" applyFont="1" applyFill="1" applyBorder="1" applyAlignment="1">
      <alignment vertical="top" wrapText="1"/>
    </xf>
    <xf numFmtId="4" fontId="71" fillId="0" borderId="1" xfId="0" applyNumberFormat="1" applyFont="1" applyFill="1" applyBorder="1" applyAlignment="1">
      <alignment horizontal="right" vertical="center"/>
    </xf>
    <xf numFmtId="4" fontId="72" fillId="0" borderId="1" xfId="0" applyNumberFormat="1" applyFont="1" applyFill="1" applyBorder="1" applyAlignment="1">
      <alignment horizontal="right" vertical="center"/>
    </xf>
    <xf numFmtId="0" fontId="73" fillId="0" borderId="1" xfId="0" applyFont="1" applyFill="1" applyBorder="1" applyAlignment="1">
      <alignment horizontal="left" vertical="top"/>
    </xf>
    <xf numFmtId="0" fontId="74" fillId="0" borderId="1" xfId="0" applyFont="1" applyFill="1" applyBorder="1" applyAlignment="1">
      <alignment vertical="top" wrapText="1"/>
    </xf>
    <xf numFmtId="4" fontId="75" fillId="0" borderId="1" xfId="0" applyNumberFormat="1" applyFont="1" applyFill="1" applyBorder="1" applyAlignment="1">
      <alignment horizontal="right" vertical="center"/>
    </xf>
    <xf numFmtId="4" fontId="76" fillId="0" borderId="1" xfId="0" applyNumberFormat="1" applyFont="1" applyFill="1" applyBorder="1" applyAlignment="1">
      <alignment horizontal="right" vertical="center"/>
    </xf>
    <xf numFmtId="0" fontId="77" fillId="0" borderId="1" xfId="0" applyFont="1" applyFill="1" applyBorder="1" applyAlignment="1">
      <alignment horizontal="left" vertical="top"/>
    </xf>
    <xf numFmtId="0" fontId="78" fillId="0" borderId="1" xfId="0" applyFont="1" applyFill="1" applyBorder="1" applyAlignment="1">
      <alignment vertical="top" wrapText="1"/>
    </xf>
    <xf numFmtId="4" fontId="79" fillId="0" borderId="1" xfId="0" applyNumberFormat="1" applyFont="1" applyFill="1" applyBorder="1" applyAlignment="1">
      <alignment horizontal="right" vertical="center"/>
    </xf>
    <xf numFmtId="4" fontId="80" fillId="0" borderId="1" xfId="0" applyNumberFormat="1" applyFont="1" applyFill="1" applyBorder="1" applyAlignment="1">
      <alignment horizontal="right" vertical="center"/>
    </xf>
    <xf numFmtId="4" fontId="80" fillId="0" borderId="1" xfId="0" applyNumberFormat="1" applyFont="1" applyFill="1" applyBorder="1" applyAlignment="1">
      <alignment wrapText="1"/>
    </xf>
    <xf numFmtId="166" fontId="80" fillId="0" borderId="1" xfId="0" applyNumberFormat="1" applyFont="1" applyFill="1" applyBorder="1" applyAlignment="1" applyProtection="1">
      <alignment horizontal="right" vertical="center"/>
      <protection locked="0"/>
    </xf>
    <xf numFmtId="2" fontId="80" fillId="0" borderId="1" xfId="0" applyNumberFormat="1" applyFont="1" applyFill="1" applyBorder="1" applyAlignment="1">
      <alignment wrapText="1"/>
    </xf>
    <xf numFmtId="2" fontId="81" fillId="0" borderId="1" xfId="0" applyNumberFormat="1" applyFont="1" applyFill="1" applyBorder="1" applyAlignment="1">
      <alignment wrapText="1"/>
    </xf>
    <xf numFmtId="2" fontId="82" fillId="0" borderId="1" xfId="0" applyNumberFormat="1" applyFont="1" applyFill="1" applyBorder="1" applyAlignment="1">
      <alignment wrapText="1"/>
    </xf>
    <xf numFmtId="4" fontId="83" fillId="0" borderId="0" xfId="0" applyNumberFormat="1" applyFont="1" applyFill="1"/>
    <xf numFmtId="0" fontId="84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W353"/>
  <sheetViews>
    <sheetView tabSelected="1" topLeftCell="A328" workbookViewId="0">
      <selection activeCell="B352" sqref="B352"/>
    </sheetView>
  </sheetViews>
  <sheetFormatPr defaultRowHeight="19.5"/>
  <cols>
    <col min="1" max="1" width="11" style="75" customWidth="1"/>
    <col min="2" max="2" width="31.140625" style="76" customWidth="1"/>
    <col min="3" max="3" width="15.42578125" style="76" hidden="1" customWidth="1"/>
    <col min="4" max="4" width="15.140625" style="76" hidden="1" customWidth="1"/>
    <col min="5" max="5" width="14.5703125" style="76" hidden="1" customWidth="1"/>
    <col min="6" max="7" width="14.7109375" style="76" hidden="1" customWidth="1"/>
    <col min="8" max="8" width="18.28515625" style="76" hidden="1" customWidth="1"/>
    <col min="9" max="9" width="20.28515625" style="12" hidden="1" customWidth="1"/>
    <col min="10" max="10" width="16.140625" style="12" hidden="1" customWidth="1"/>
    <col min="11" max="11" width="21.7109375" style="12" hidden="1" customWidth="1"/>
    <col min="12" max="12" width="16.5703125" style="12" hidden="1" customWidth="1"/>
    <col min="13" max="13" width="16.85546875" style="12" hidden="1" customWidth="1"/>
    <col min="14" max="14" width="20.140625" style="12" hidden="1" customWidth="1"/>
    <col min="15" max="16" width="21" style="12" hidden="1" customWidth="1"/>
    <col min="17" max="17" width="18.7109375" style="12" customWidth="1"/>
    <col min="18" max="18" width="18.42578125" style="12" customWidth="1"/>
    <col min="19" max="19" width="18.28515625" style="12" customWidth="1"/>
    <col min="20" max="20" width="18" style="76" customWidth="1"/>
    <col min="21" max="21" width="21.140625" style="76" customWidth="1"/>
    <col min="22" max="22" width="17.7109375" style="76" customWidth="1"/>
    <col min="23" max="23" width="18.5703125" style="76" bestFit="1" customWidth="1"/>
    <col min="24" max="24" width="21.42578125" style="76" customWidth="1"/>
    <col min="25" max="16384" width="9.140625" style="76"/>
  </cols>
  <sheetData>
    <row r="1" spans="1:22" ht="22.5">
      <c r="A1" s="185" t="s">
        <v>409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2" ht="30.75" customHeight="1">
      <c r="A2" s="183" t="s">
        <v>282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2" s="108" customFormat="1" ht="44.25" customHeight="1">
      <c r="A3" s="73" t="s">
        <v>415</v>
      </c>
      <c r="B3" s="73" t="s">
        <v>416</v>
      </c>
      <c r="C3" s="9" t="s">
        <v>203</v>
      </c>
      <c r="D3" s="9" t="s">
        <v>204</v>
      </c>
      <c r="E3" s="9" t="s">
        <v>197</v>
      </c>
      <c r="F3" s="9" t="s">
        <v>198</v>
      </c>
      <c r="G3" s="9" t="s">
        <v>407</v>
      </c>
      <c r="H3" s="9" t="s">
        <v>397</v>
      </c>
      <c r="I3" s="9" t="s">
        <v>294</v>
      </c>
      <c r="J3" s="9" t="s">
        <v>152</v>
      </c>
      <c r="K3" s="9" t="s">
        <v>205</v>
      </c>
      <c r="L3" s="9" t="s">
        <v>153</v>
      </c>
      <c r="M3" s="9" t="s">
        <v>296</v>
      </c>
      <c r="N3" s="9" t="s">
        <v>313</v>
      </c>
      <c r="O3" s="9" t="s">
        <v>298</v>
      </c>
      <c r="P3" s="9" t="s">
        <v>329</v>
      </c>
      <c r="Q3" s="95" t="s">
        <v>330</v>
      </c>
      <c r="R3" s="95" t="s">
        <v>347</v>
      </c>
      <c r="S3" s="95" t="s">
        <v>332</v>
      </c>
      <c r="T3" s="95" t="s">
        <v>346</v>
      </c>
      <c r="U3" s="95" t="s">
        <v>348</v>
      </c>
    </row>
    <row r="4" spans="1:22" ht="27.75">
      <c r="A4" s="139">
        <v>1</v>
      </c>
      <c r="B4" s="140" t="s">
        <v>417</v>
      </c>
      <c r="C4" s="141">
        <f t="shared" ref="C4:T4" si="0">C5+C16+C19+C25+C32</f>
        <v>12980614</v>
      </c>
      <c r="D4" s="141">
        <f t="shared" si="0"/>
        <v>25258629.18</v>
      </c>
      <c r="E4" s="141">
        <f t="shared" si="0"/>
        <v>22605503.07</v>
      </c>
      <c r="F4" s="141">
        <f t="shared" si="0"/>
        <v>18765037.190000001</v>
      </c>
      <c r="G4" s="142">
        <f t="shared" si="0"/>
        <v>20469330.07</v>
      </c>
      <c r="H4" s="141">
        <f t="shared" si="0"/>
        <v>21107283.969999999</v>
      </c>
      <c r="I4" s="143">
        <f t="shared" si="0"/>
        <v>21254895.399999999</v>
      </c>
      <c r="J4" s="143">
        <f t="shared" si="0"/>
        <v>5571588.96</v>
      </c>
      <c r="K4" s="143">
        <f t="shared" si="0"/>
        <v>7350369.2000000011</v>
      </c>
      <c r="L4" s="143">
        <f t="shared" si="0"/>
        <v>23192000</v>
      </c>
      <c r="M4" s="143">
        <f t="shared" si="0"/>
        <v>15887747.41</v>
      </c>
      <c r="N4" s="143">
        <f t="shared" si="0"/>
        <v>21652372.170000002</v>
      </c>
      <c r="O4" s="143">
        <f t="shared" si="0"/>
        <v>22031510.890000001</v>
      </c>
      <c r="P4" s="143">
        <f t="shared" si="0"/>
        <v>22254500</v>
      </c>
      <c r="Q4" s="143">
        <f t="shared" si="0"/>
        <v>24464131.100000001</v>
      </c>
      <c r="R4" s="143" t="e">
        <f t="shared" si="0"/>
        <v>#REF!</v>
      </c>
      <c r="S4" s="143">
        <f t="shared" si="0"/>
        <v>24749975</v>
      </c>
      <c r="T4" s="143" t="e">
        <f t="shared" si="0"/>
        <v>#REF!</v>
      </c>
      <c r="U4" s="143">
        <f>U5+U16+U19+U25+U32</f>
        <v>32882850</v>
      </c>
      <c r="V4" s="86"/>
    </row>
    <row r="5" spans="1:22" s="66" customFormat="1" ht="18" customHeight="1">
      <c r="A5" s="15" t="s">
        <v>207</v>
      </c>
      <c r="B5" s="5" t="s">
        <v>392</v>
      </c>
      <c r="C5" s="77">
        <f t="shared" ref="C5:T5" si="1">SUM(C6:C15)</f>
        <v>2189136</v>
      </c>
      <c r="D5" s="77">
        <f t="shared" si="1"/>
        <v>3160050.54</v>
      </c>
      <c r="E5" s="77">
        <f t="shared" si="1"/>
        <v>2837520.37</v>
      </c>
      <c r="F5" s="77">
        <f t="shared" si="1"/>
        <v>4877935.88</v>
      </c>
      <c r="G5" s="59">
        <f t="shared" si="1"/>
        <v>5085000</v>
      </c>
      <c r="H5" s="77">
        <f t="shared" si="1"/>
        <v>5197322.2700000005</v>
      </c>
      <c r="I5" s="55">
        <f t="shared" si="1"/>
        <v>6674686.7999999998</v>
      </c>
      <c r="J5" s="55">
        <f t="shared" si="1"/>
        <v>2287568.6</v>
      </c>
      <c r="K5" s="55">
        <f t="shared" si="1"/>
        <v>3051164.43</v>
      </c>
      <c r="L5" s="55">
        <f t="shared" si="1"/>
        <v>6882500</v>
      </c>
      <c r="M5" s="55">
        <f t="shared" si="1"/>
        <v>5456353.0299999993</v>
      </c>
      <c r="N5" s="55">
        <f t="shared" si="1"/>
        <v>6494691.7999999998</v>
      </c>
      <c r="O5" s="55">
        <f t="shared" si="1"/>
        <v>6499085.7199999997</v>
      </c>
      <c r="P5" s="55">
        <f t="shared" si="1"/>
        <v>6752500</v>
      </c>
      <c r="Q5" s="55">
        <f t="shared" si="1"/>
        <v>6640635.0700000003</v>
      </c>
      <c r="R5" s="55" t="e">
        <f t="shared" si="1"/>
        <v>#REF!</v>
      </c>
      <c r="S5" s="55">
        <f t="shared" si="1"/>
        <v>7630095</v>
      </c>
      <c r="T5" s="55" t="e">
        <f t="shared" si="1"/>
        <v>#REF!</v>
      </c>
      <c r="U5" s="55">
        <f>SUM(U6:U15)</f>
        <v>9688750</v>
      </c>
    </row>
    <row r="6" spans="1:22" ht="18" hidden="1" customHeight="1">
      <c r="A6" s="16" t="s">
        <v>208</v>
      </c>
      <c r="B6" s="6" t="s">
        <v>418</v>
      </c>
      <c r="C6" s="59"/>
      <c r="D6" s="59"/>
      <c r="E6" s="59">
        <v>7278.39</v>
      </c>
      <c r="F6" s="59">
        <v>12120</v>
      </c>
      <c r="G6" s="59">
        <v>0</v>
      </c>
      <c r="H6" s="59">
        <v>0</v>
      </c>
      <c r="I6" s="60">
        <v>0</v>
      </c>
      <c r="J6" s="60">
        <v>0</v>
      </c>
      <c r="K6" s="60"/>
      <c r="L6" s="60">
        <v>0</v>
      </c>
      <c r="M6" s="34"/>
      <c r="N6" s="34"/>
      <c r="O6" s="34"/>
      <c r="P6" s="34"/>
      <c r="Q6" s="34"/>
      <c r="R6" s="59">
        <v>0</v>
      </c>
      <c r="S6" s="59"/>
      <c r="T6" s="60"/>
      <c r="U6" s="78"/>
    </row>
    <row r="7" spans="1:22" ht="18" hidden="1" customHeight="1">
      <c r="A7" s="16" t="s">
        <v>209</v>
      </c>
      <c r="B7" s="6" t="s">
        <v>419</v>
      </c>
      <c r="C7" s="59">
        <v>79497</v>
      </c>
      <c r="D7" s="59">
        <v>29306.01</v>
      </c>
      <c r="E7" s="59"/>
      <c r="F7" s="59"/>
      <c r="G7" s="59">
        <v>0</v>
      </c>
      <c r="H7" s="59">
        <v>0</v>
      </c>
      <c r="I7" s="60">
        <v>0</v>
      </c>
      <c r="J7" s="60">
        <v>0</v>
      </c>
      <c r="K7" s="60"/>
      <c r="L7" s="60">
        <v>0</v>
      </c>
      <c r="M7" s="34"/>
      <c r="N7" s="34"/>
      <c r="O7" s="34"/>
      <c r="P7" s="34"/>
      <c r="Q7" s="34"/>
      <c r="R7" s="59">
        <v>0</v>
      </c>
      <c r="S7" s="59"/>
      <c r="T7" s="60"/>
      <c r="U7" s="78"/>
    </row>
    <row r="8" spans="1:22" ht="18" customHeight="1">
      <c r="A8" s="16" t="s">
        <v>210</v>
      </c>
      <c r="B8" s="6" t="s">
        <v>420</v>
      </c>
      <c r="C8" s="59">
        <v>16713</v>
      </c>
      <c r="D8" s="59">
        <v>43174.8</v>
      </c>
      <c r="E8" s="59">
        <v>50152.9</v>
      </c>
      <c r="F8" s="59">
        <v>132597.5</v>
      </c>
      <c r="G8" s="59">
        <v>50000</v>
      </c>
      <c r="H8" s="59">
        <v>35042.910000000003</v>
      </c>
      <c r="I8" s="60">
        <v>150000</v>
      </c>
      <c r="J8" s="11">
        <v>20180</v>
      </c>
      <c r="K8" s="11">
        <v>21920</v>
      </c>
      <c r="L8" s="60">
        <v>150000</v>
      </c>
      <c r="M8" s="11">
        <v>33055.1</v>
      </c>
      <c r="N8" s="11">
        <v>50000</v>
      </c>
      <c r="O8" s="11">
        <v>48791.49</v>
      </c>
      <c r="P8" s="11">
        <v>50000</v>
      </c>
      <c r="Q8" s="11">
        <v>79829.72</v>
      </c>
      <c r="R8" s="59" t="e">
        <f>#REF!</f>
        <v>#REF!</v>
      </c>
      <c r="S8" s="59">
        <v>100000</v>
      </c>
      <c r="T8" s="60" t="e">
        <f>#REF!</f>
        <v>#REF!</v>
      </c>
      <c r="U8" s="11">
        <v>100000</v>
      </c>
    </row>
    <row r="9" spans="1:22" ht="18" customHeight="1">
      <c r="A9" s="16" t="s">
        <v>211</v>
      </c>
      <c r="B9" s="6" t="s">
        <v>421</v>
      </c>
      <c r="C9" s="59">
        <v>221419</v>
      </c>
      <c r="D9" s="59">
        <v>201120</v>
      </c>
      <c r="E9" s="59">
        <v>202700</v>
      </c>
      <c r="F9" s="59">
        <v>211025</v>
      </c>
      <c r="G9" s="59">
        <v>200000</v>
      </c>
      <c r="H9" s="59">
        <v>207250</v>
      </c>
      <c r="I9" s="60">
        <v>200000</v>
      </c>
      <c r="J9" s="11">
        <v>33875</v>
      </c>
      <c r="K9" s="11">
        <v>52925</v>
      </c>
      <c r="L9" s="60">
        <v>200000</v>
      </c>
      <c r="M9" s="11">
        <v>107600</v>
      </c>
      <c r="N9" s="11">
        <v>150000</v>
      </c>
      <c r="O9" s="11">
        <v>133525</v>
      </c>
      <c r="P9" s="11">
        <v>150000</v>
      </c>
      <c r="Q9" s="144">
        <v>318265</v>
      </c>
      <c r="R9" s="59" t="e">
        <f>#REF!</f>
        <v>#REF!</v>
      </c>
      <c r="S9" s="59">
        <v>150000</v>
      </c>
      <c r="T9" s="60" t="e">
        <f>#REF!</f>
        <v>#REF!</v>
      </c>
      <c r="U9" s="11">
        <v>200000</v>
      </c>
    </row>
    <row r="10" spans="1:22" ht="18" customHeight="1">
      <c r="A10" s="16" t="s">
        <v>212</v>
      </c>
      <c r="B10" s="6" t="s">
        <v>422</v>
      </c>
      <c r="C10" s="59">
        <v>350365</v>
      </c>
      <c r="D10" s="59">
        <v>445213</v>
      </c>
      <c r="E10" s="59">
        <v>472996.5</v>
      </c>
      <c r="F10" s="59">
        <v>551671</v>
      </c>
      <c r="G10" s="59">
        <v>750000</v>
      </c>
      <c r="H10" s="59">
        <v>797474.12</v>
      </c>
      <c r="I10" s="60">
        <v>800000</v>
      </c>
      <c r="J10" s="11">
        <v>514415.5</v>
      </c>
      <c r="K10" s="11">
        <v>584045.5</v>
      </c>
      <c r="L10" s="60">
        <v>850000</v>
      </c>
      <c r="M10" s="11">
        <v>792145.5</v>
      </c>
      <c r="N10" s="11">
        <v>850000</v>
      </c>
      <c r="O10" s="11">
        <v>874745.5</v>
      </c>
      <c r="P10" s="11">
        <v>850000</v>
      </c>
      <c r="Q10" s="11">
        <v>1085066.5</v>
      </c>
      <c r="R10" s="59" t="e">
        <f>#REF!</f>
        <v>#REF!</v>
      </c>
      <c r="S10" s="59">
        <v>1000000</v>
      </c>
      <c r="T10" s="60" t="e">
        <f>#REF!</f>
        <v>#REF!</v>
      </c>
      <c r="U10" s="11">
        <v>1100000</v>
      </c>
    </row>
    <row r="11" spans="1:22" s="74" customFormat="1" ht="18" customHeight="1">
      <c r="A11" s="15" t="s">
        <v>213</v>
      </c>
      <c r="B11" s="5" t="s">
        <v>423</v>
      </c>
      <c r="C11" s="59"/>
      <c r="D11" s="59"/>
      <c r="E11" s="59"/>
      <c r="F11" s="59"/>
      <c r="G11" s="59">
        <v>0</v>
      </c>
      <c r="H11" s="59">
        <v>0</v>
      </c>
      <c r="I11" s="60"/>
      <c r="J11" s="60"/>
      <c r="K11" s="60"/>
      <c r="L11" s="60"/>
      <c r="M11" s="33"/>
      <c r="N11" s="33"/>
      <c r="O11" s="33"/>
      <c r="P11" s="33"/>
      <c r="Q11" s="33"/>
      <c r="R11" s="59"/>
      <c r="S11" s="59"/>
      <c r="T11" s="60"/>
      <c r="U11" s="11"/>
    </row>
    <row r="12" spans="1:22" ht="18" customHeight="1">
      <c r="A12" s="16" t="s">
        <v>214</v>
      </c>
      <c r="B12" s="6" t="s">
        <v>410</v>
      </c>
      <c r="C12" s="59">
        <v>6220</v>
      </c>
      <c r="D12" s="59">
        <v>13075</v>
      </c>
      <c r="E12" s="59">
        <v>19130</v>
      </c>
      <c r="F12" s="59">
        <v>30203</v>
      </c>
      <c r="G12" s="59">
        <v>35000</v>
      </c>
      <c r="H12" s="59">
        <v>35370</v>
      </c>
      <c r="I12" s="60">
        <v>35000</v>
      </c>
      <c r="J12" s="11">
        <v>53655</v>
      </c>
      <c r="K12" s="11">
        <v>53655</v>
      </c>
      <c r="L12" s="60">
        <v>50000</v>
      </c>
      <c r="M12" s="11">
        <v>53665</v>
      </c>
      <c r="N12" s="11">
        <v>50000</v>
      </c>
      <c r="O12" s="11">
        <v>53680</v>
      </c>
      <c r="P12" s="11">
        <v>70000</v>
      </c>
      <c r="Q12" s="11">
        <v>74350</v>
      </c>
      <c r="R12" s="59" t="e">
        <f>#REF!</f>
        <v>#REF!</v>
      </c>
      <c r="S12" s="59">
        <v>100000</v>
      </c>
      <c r="T12" s="55" t="e">
        <f>#REF!</f>
        <v>#REF!</v>
      </c>
      <c r="U12" s="51">
        <v>100000</v>
      </c>
    </row>
    <row r="13" spans="1:22" ht="18" customHeight="1">
      <c r="A13" s="16" t="s">
        <v>215</v>
      </c>
      <c r="B13" s="6" t="s">
        <v>424</v>
      </c>
      <c r="C13" s="59"/>
      <c r="D13" s="59"/>
      <c r="E13" s="59"/>
      <c r="F13" s="59"/>
      <c r="G13" s="59">
        <v>0</v>
      </c>
      <c r="H13" s="59">
        <v>0</v>
      </c>
      <c r="I13" s="60">
        <f>113625.9+591101+184959.9</f>
        <v>889686.8</v>
      </c>
      <c r="J13" s="60"/>
      <c r="K13" s="60"/>
      <c r="L13" s="60">
        <f>206000+126500+600000</f>
        <v>932500</v>
      </c>
      <c r="M13" s="34"/>
      <c r="N13" s="11">
        <v>889691.8</v>
      </c>
      <c r="O13" s="45">
        <v>889691.8</v>
      </c>
      <c r="P13" s="45">
        <v>932500</v>
      </c>
      <c r="Q13" s="45">
        <v>793372.67</v>
      </c>
      <c r="R13" s="59" t="e">
        <f>#REF!</f>
        <v>#REF!</v>
      </c>
      <c r="S13" s="59">
        <v>1262295</v>
      </c>
      <c r="T13" s="68" t="e">
        <f>#REF!</f>
        <v>#REF!</v>
      </c>
      <c r="U13" s="11">
        <v>922550</v>
      </c>
      <c r="V13" s="23"/>
    </row>
    <row r="14" spans="1:22" ht="18" customHeight="1">
      <c r="A14" s="16" t="s">
        <v>216</v>
      </c>
      <c r="B14" s="6" t="s">
        <v>425</v>
      </c>
      <c r="C14" s="59">
        <v>1514922</v>
      </c>
      <c r="D14" s="59">
        <v>2428161.73</v>
      </c>
      <c r="E14" s="59">
        <v>2071062.58</v>
      </c>
      <c r="F14" s="59">
        <v>3911639.38</v>
      </c>
      <c r="G14" s="59">
        <v>4000000</v>
      </c>
      <c r="H14" s="59">
        <v>4118685.24</v>
      </c>
      <c r="I14" s="60">
        <v>4500000</v>
      </c>
      <c r="J14" s="11">
        <f>1514231.85+78511.25+71425</f>
        <v>1664168.1</v>
      </c>
      <c r="K14" s="11">
        <f>2141025.68+110519.25+85799</f>
        <v>2337343.9300000002</v>
      </c>
      <c r="L14" s="60">
        <v>4500000</v>
      </c>
      <c r="M14" s="60">
        <v>4468612.43</v>
      </c>
      <c r="N14" s="60">
        <v>4500000</v>
      </c>
      <c r="O14" s="45">
        <v>4497376.93</v>
      </c>
      <c r="P14" s="45">
        <v>4500000</v>
      </c>
      <c r="Q14" s="45">
        <v>4091751.18</v>
      </c>
      <c r="R14" s="59" t="e">
        <f>#REF!</f>
        <v>#REF!</v>
      </c>
      <c r="S14" s="59">
        <v>4800000</v>
      </c>
      <c r="T14" s="55" t="e">
        <f>#REF!</f>
        <v>#REF!</v>
      </c>
      <c r="U14" s="131">
        <v>7000000</v>
      </c>
    </row>
    <row r="15" spans="1:22" ht="18" customHeight="1">
      <c r="A15" s="16" t="s">
        <v>217</v>
      </c>
      <c r="B15" s="6" t="s">
        <v>426</v>
      </c>
      <c r="C15" s="59">
        <v>0</v>
      </c>
      <c r="D15" s="59"/>
      <c r="E15" s="59">
        <v>14200</v>
      </c>
      <c r="F15" s="59">
        <v>28680</v>
      </c>
      <c r="G15" s="59">
        <v>50000</v>
      </c>
      <c r="H15" s="59">
        <v>3500</v>
      </c>
      <c r="I15" s="60">
        <v>100000</v>
      </c>
      <c r="J15" s="11">
        <v>1275</v>
      </c>
      <c r="K15" s="11">
        <v>1275</v>
      </c>
      <c r="L15" s="60">
        <v>200000</v>
      </c>
      <c r="M15" s="60">
        <v>1275</v>
      </c>
      <c r="N15" s="60">
        <v>5000</v>
      </c>
      <c r="O15" s="45">
        <v>1275</v>
      </c>
      <c r="P15" s="45">
        <v>200000</v>
      </c>
      <c r="Q15" s="60">
        <v>198000</v>
      </c>
      <c r="R15" s="59" t="e">
        <f>#REF!</f>
        <v>#REF!</v>
      </c>
      <c r="S15" s="59">
        <v>217800</v>
      </c>
      <c r="T15" s="60" t="e">
        <f>#REF!</f>
        <v>#REF!</v>
      </c>
      <c r="U15" s="11">
        <v>266200</v>
      </c>
    </row>
    <row r="16" spans="1:22" s="66" customFormat="1" ht="18" customHeight="1">
      <c r="A16" s="15" t="s">
        <v>218</v>
      </c>
      <c r="B16" s="5" t="s">
        <v>411</v>
      </c>
      <c r="C16" s="58">
        <f t="shared" ref="C16:U16" si="2">SUM(C17:C18)</f>
        <v>2923453</v>
      </c>
      <c r="D16" s="58">
        <f t="shared" si="2"/>
        <v>3278727.65</v>
      </c>
      <c r="E16" s="58">
        <f t="shared" si="2"/>
        <v>3084393.5</v>
      </c>
      <c r="F16" s="58">
        <f t="shared" si="2"/>
        <v>3328603.8</v>
      </c>
      <c r="G16" s="59">
        <f t="shared" si="2"/>
        <v>3033330.0700000003</v>
      </c>
      <c r="H16" s="58">
        <f t="shared" si="2"/>
        <v>3021026.13</v>
      </c>
      <c r="I16" s="55">
        <f t="shared" si="2"/>
        <v>3766097.6</v>
      </c>
      <c r="J16" s="55">
        <f t="shared" si="2"/>
        <v>66875</v>
      </c>
      <c r="K16" s="55">
        <f t="shared" si="2"/>
        <v>66875</v>
      </c>
      <c r="L16" s="55">
        <f t="shared" si="2"/>
        <v>6050000</v>
      </c>
      <c r="M16" s="55">
        <f t="shared" si="2"/>
        <v>66927</v>
      </c>
      <c r="N16" s="55">
        <f t="shared" si="2"/>
        <v>3656680.37</v>
      </c>
      <c r="O16" s="55">
        <f t="shared" si="2"/>
        <v>3656680.3699999996</v>
      </c>
      <c r="P16" s="55">
        <f t="shared" si="2"/>
        <v>4800000</v>
      </c>
      <c r="Q16" s="55">
        <f t="shared" si="2"/>
        <v>4542959.4399999995</v>
      </c>
      <c r="R16" s="55" t="e">
        <f t="shared" si="2"/>
        <v>#REF!</v>
      </c>
      <c r="S16" s="55">
        <f t="shared" si="2"/>
        <v>5756880</v>
      </c>
      <c r="T16" s="55" t="e">
        <f t="shared" si="2"/>
        <v>#REF!</v>
      </c>
      <c r="U16" s="55">
        <f t="shared" si="2"/>
        <v>6491100</v>
      </c>
    </row>
    <row r="17" spans="1:21" ht="18" customHeight="1">
      <c r="A17" s="16" t="s">
        <v>219</v>
      </c>
      <c r="B17" s="6" t="s">
        <v>427</v>
      </c>
      <c r="C17" s="59">
        <v>1473089</v>
      </c>
      <c r="D17" s="59">
        <v>1779227.75</v>
      </c>
      <c r="E17" s="59">
        <v>1577609</v>
      </c>
      <c r="F17" s="59">
        <v>1817137.8</v>
      </c>
      <c r="G17" s="59">
        <v>1250000</v>
      </c>
      <c r="H17" s="59">
        <v>1248522.01</v>
      </c>
      <c r="I17" s="60">
        <f>545400.9+985396.5</f>
        <v>1530797.4</v>
      </c>
      <c r="J17" s="11">
        <v>66875</v>
      </c>
      <c r="K17" s="11">
        <v>66875</v>
      </c>
      <c r="L17" s="60">
        <f>700000+2100000</f>
        <v>2800000</v>
      </c>
      <c r="M17" s="11">
        <v>66927</v>
      </c>
      <c r="N17" s="11">
        <v>1421380.17</v>
      </c>
      <c r="O17" s="11">
        <v>1421380.17</v>
      </c>
      <c r="P17" s="11">
        <v>1550000</v>
      </c>
      <c r="Q17" s="11">
        <v>1165422</v>
      </c>
      <c r="R17" s="59" t="e">
        <f>#REF!</f>
        <v>#REF!</v>
      </c>
      <c r="S17" s="59">
        <v>1450100</v>
      </c>
      <c r="T17" s="60" t="e">
        <f>#REF!</f>
        <v>#REF!</v>
      </c>
      <c r="U17" s="11">
        <v>2500000</v>
      </c>
    </row>
    <row r="18" spans="1:21" ht="18" customHeight="1">
      <c r="A18" s="16" t="s">
        <v>220</v>
      </c>
      <c r="B18" s="6" t="s">
        <v>614</v>
      </c>
      <c r="C18" s="59">
        <f>1395450+54914</f>
        <v>1450364</v>
      </c>
      <c r="D18" s="59">
        <f>58509.9+1440990</f>
        <v>1499499.9</v>
      </c>
      <c r="E18" s="59">
        <f>58635+1448149.5</f>
        <v>1506784.5</v>
      </c>
      <c r="F18" s="59">
        <f>65466+1446000</f>
        <v>1511466</v>
      </c>
      <c r="G18" s="59">
        <f>72012.57+461317.5+1250000</f>
        <v>1783330.07</v>
      </c>
      <c r="H18" s="59">
        <f>72012.57+461317.5+1239174.05</f>
        <v>1772504.12</v>
      </c>
      <c r="I18" s="60">
        <v>2235300.2000000002</v>
      </c>
      <c r="J18" s="60">
        <v>0</v>
      </c>
      <c r="K18" s="60"/>
      <c r="L18" s="60">
        <f>700000+2250000+300000</f>
        <v>3250000</v>
      </c>
      <c r="M18" s="34"/>
      <c r="N18" s="11">
        <v>2235300.2000000002</v>
      </c>
      <c r="O18" s="11">
        <f>681101+1350999.9+203199.3</f>
        <v>2235300.1999999997</v>
      </c>
      <c r="P18" s="11">
        <v>3250000</v>
      </c>
      <c r="Q18" s="60">
        <v>3377537.44</v>
      </c>
      <c r="R18" s="59" t="e">
        <f>#REF!</f>
        <v>#REF!</v>
      </c>
      <c r="S18" s="59">
        <v>4306780</v>
      </c>
      <c r="T18" s="60" t="e">
        <f>#REF!+#REF!</f>
        <v>#REF!</v>
      </c>
      <c r="U18" s="11">
        <v>3991100</v>
      </c>
    </row>
    <row r="19" spans="1:21" s="66" customFormat="1" ht="18" customHeight="1">
      <c r="A19" s="15" t="s">
        <v>221</v>
      </c>
      <c r="B19" s="5" t="s">
        <v>616</v>
      </c>
      <c r="C19" s="58">
        <f t="shared" ref="C19:U19" si="3">SUM(C20:C24)</f>
        <v>1417694</v>
      </c>
      <c r="D19" s="58">
        <f t="shared" si="3"/>
        <v>2572151.59</v>
      </c>
      <c r="E19" s="58">
        <f t="shared" si="3"/>
        <v>4070702.1100000003</v>
      </c>
      <c r="F19" s="58">
        <f t="shared" si="3"/>
        <v>4923079.16</v>
      </c>
      <c r="G19" s="59">
        <f t="shared" si="3"/>
        <v>4076000</v>
      </c>
      <c r="H19" s="58">
        <f t="shared" si="3"/>
        <v>4346362.5</v>
      </c>
      <c r="I19" s="55">
        <f t="shared" si="3"/>
        <v>4155000</v>
      </c>
      <c r="J19" s="55">
        <f t="shared" si="3"/>
        <v>1964677.89</v>
      </c>
      <c r="K19" s="55">
        <f t="shared" si="3"/>
        <v>2769449.87</v>
      </c>
      <c r="L19" s="55">
        <f t="shared" si="3"/>
        <v>3702000</v>
      </c>
      <c r="M19" s="55">
        <f t="shared" si="3"/>
        <v>5259744.66</v>
      </c>
      <c r="N19" s="55">
        <f t="shared" si="3"/>
        <v>5701000</v>
      </c>
      <c r="O19" s="55">
        <f t="shared" si="3"/>
        <v>5849065.8799999999</v>
      </c>
      <c r="P19" s="55">
        <f t="shared" si="3"/>
        <v>3802000</v>
      </c>
      <c r="Q19" s="55">
        <f t="shared" si="3"/>
        <v>6116022.4500000002</v>
      </c>
      <c r="R19" s="55" t="e">
        <f t="shared" si="3"/>
        <v>#REF!</v>
      </c>
      <c r="S19" s="55">
        <f t="shared" si="3"/>
        <v>4202000</v>
      </c>
      <c r="T19" s="55" t="e">
        <f t="shared" si="3"/>
        <v>#REF!</v>
      </c>
      <c r="U19" s="55">
        <f t="shared" si="3"/>
        <v>5102000</v>
      </c>
    </row>
    <row r="20" spans="1:21" ht="18" customHeight="1">
      <c r="A20" s="16" t="s">
        <v>222</v>
      </c>
      <c r="B20" s="6" t="s">
        <v>617</v>
      </c>
      <c r="C20" s="59">
        <v>110630</v>
      </c>
      <c r="D20" s="59">
        <v>127355</v>
      </c>
      <c r="E20" s="59">
        <v>92433</v>
      </c>
      <c r="F20" s="59">
        <v>98916</v>
      </c>
      <c r="G20" s="59">
        <v>175000</v>
      </c>
      <c r="H20" s="59">
        <v>195476</v>
      </c>
      <c r="I20" s="60">
        <v>150000</v>
      </c>
      <c r="J20" s="11">
        <v>58657</v>
      </c>
      <c r="K20" s="11">
        <v>84687</v>
      </c>
      <c r="L20" s="60">
        <v>200000</v>
      </c>
      <c r="M20" s="11">
        <v>178202</v>
      </c>
      <c r="N20" s="11">
        <v>200000</v>
      </c>
      <c r="O20" s="11">
        <v>203237</v>
      </c>
      <c r="P20" s="11">
        <v>200000</v>
      </c>
      <c r="Q20" s="11">
        <v>185316</v>
      </c>
      <c r="R20" s="59" t="e">
        <f>#REF!</f>
        <v>#REF!</v>
      </c>
      <c r="S20" s="59">
        <v>200000</v>
      </c>
      <c r="T20" s="60" t="e">
        <f>#REF!</f>
        <v>#REF!</v>
      </c>
      <c r="U20" s="11">
        <v>200000</v>
      </c>
    </row>
    <row r="21" spans="1:21" ht="18" customHeight="1">
      <c r="A21" s="16" t="s">
        <v>223</v>
      </c>
      <c r="B21" s="6" t="s">
        <v>618</v>
      </c>
      <c r="C21" s="59">
        <v>781819</v>
      </c>
      <c r="D21" s="59">
        <v>1416885.32</v>
      </c>
      <c r="E21" s="59">
        <v>1924598.11</v>
      </c>
      <c r="F21" s="59">
        <v>2724086.81</v>
      </c>
      <c r="G21" s="59">
        <v>2500000</v>
      </c>
      <c r="H21" s="59">
        <v>2631226</v>
      </c>
      <c r="I21" s="60">
        <v>2500000</v>
      </c>
      <c r="J21" s="11">
        <v>1155760.8899999999</v>
      </c>
      <c r="K21" s="11">
        <v>1749165.37</v>
      </c>
      <c r="L21" s="60">
        <v>2500000</v>
      </c>
      <c r="M21" s="11">
        <v>3089034.16</v>
      </c>
      <c r="N21" s="11">
        <v>3400000</v>
      </c>
      <c r="O21" s="11">
        <v>3465532.88</v>
      </c>
      <c r="P21" s="11">
        <v>2500000</v>
      </c>
      <c r="Q21" s="11">
        <v>3440997.2</v>
      </c>
      <c r="R21" s="59" t="e">
        <f>#REF!</f>
        <v>#REF!</v>
      </c>
      <c r="S21" s="59">
        <v>2800000</v>
      </c>
      <c r="T21" s="60" t="e">
        <f>#REF!</f>
        <v>#REF!</v>
      </c>
      <c r="U21" s="11">
        <v>3200000</v>
      </c>
    </row>
    <row r="22" spans="1:21" ht="18" customHeight="1">
      <c r="A22" s="16" t="s">
        <v>224</v>
      </c>
      <c r="B22" s="6" t="s">
        <v>619</v>
      </c>
      <c r="C22" s="59">
        <v>521445</v>
      </c>
      <c r="D22" s="59">
        <v>1019921.27</v>
      </c>
      <c r="E22" s="59">
        <v>2051446</v>
      </c>
      <c r="F22" s="59">
        <v>2098676.35</v>
      </c>
      <c r="G22" s="59">
        <v>1400000</v>
      </c>
      <c r="H22" s="59">
        <v>1519035.5</v>
      </c>
      <c r="I22" s="60">
        <v>1500000</v>
      </c>
      <c r="J22" s="11">
        <v>679910</v>
      </c>
      <c r="K22" s="11">
        <v>852447.5</v>
      </c>
      <c r="L22" s="60">
        <v>1000000</v>
      </c>
      <c r="M22" s="11">
        <v>1809993.5</v>
      </c>
      <c r="N22" s="11">
        <v>1900000</v>
      </c>
      <c r="O22" s="11">
        <v>1979426</v>
      </c>
      <c r="P22" s="11">
        <v>1000000</v>
      </c>
      <c r="Q22" s="11">
        <v>2295292.25</v>
      </c>
      <c r="R22" s="59" t="e">
        <f>#REF!</f>
        <v>#REF!</v>
      </c>
      <c r="S22" s="59">
        <v>1000000</v>
      </c>
      <c r="T22" s="60" t="e">
        <f>#REF!+#REF!</f>
        <v>#REF!</v>
      </c>
      <c r="U22" s="11">
        <v>1500000</v>
      </c>
    </row>
    <row r="23" spans="1:21" ht="18" customHeight="1">
      <c r="A23" s="16" t="s">
        <v>225</v>
      </c>
      <c r="B23" s="6" t="s">
        <v>620</v>
      </c>
      <c r="C23" s="59">
        <v>3800</v>
      </c>
      <c r="D23" s="59">
        <v>7990</v>
      </c>
      <c r="E23" s="59">
        <v>2225</v>
      </c>
      <c r="F23" s="59">
        <v>1400</v>
      </c>
      <c r="G23" s="59">
        <v>1000</v>
      </c>
      <c r="H23" s="59">
        <v>625</v>
      </c>
      <c r="I23" s="60">
        <v>5000</v>
      </c>
      <c r="J23" s="11">
        <v>250</v>
      </c>
      <c r="K23" s="11">
        <v>250</v>
      </c>
      <c r="L23" s="60">
        <v>2000</v>
      </c>
      <c r="M23" s="11">
        <v>525</v>
      </c>
      <c r="N23" s="11">
        <v>1000</v>
      </c>
      <c r="O23" s="11">
        <v>550</v>
      </c>
      <c r="P23" s="11">
        <v>2000</v>
      </c>
      <c r="Q23" s="11">
        <v>425</v>
      </c>
      <c r="R23" s="59" t="e">
        <f>#REF!</f>
        <v>#REF!</v>
      </c>
      <c r="S23" s="59">
        <v>2000</v>
      </c>
      <c r="T23" s="60" t="e">
        <f>#REF!</f>
        <v>#REF!</v>
      </c>
      <c r="U23" s="11">
        <v>2000</v>
      </c>
    </row>
    <row r="24" spans="1:21" ht="18" customHeight="1">
      <c r="A24" s="16" t="s">
        <v>226</v>
      </c>
      <c r="B24" s="6" t="s">
        <v>318</v>
      </c>
      <c r="C24" s="59"/>
      <c r="D24" s="59"/>
      <c r="E24" s="59"/>
      <c r="F24" s="59"/>
      <c r="G24" s="59">
        <v>0</v>
      </c>
      <c r="H24" s="59">
        <v>0</v>
      </c>
      <c r="I24" s="60"/>
      <c r="J24" s="11">
        <v>70100</v>
      </c>
      <c r="K24" s="11">
        <v>82900</v>
      </c>
      <c r="L24" s="60"/>
      <c r="M24" s="11">
        <v>181990</v>
      </c>
      <c r="N24" s="11">
        <v>200000</v>
      </c>
      <c r="O24" s="11">
        <v>200320</v>
      </c>
      <c r="P24" s="11">
        <v>100000</v>
      </c>
      <c r="Q24" s="60">
        <v>193992</v>
      </c>
      <c r="R24" s="59" t="e">
        <f>#REF!</f>
        <v>#REF!</v>
      </c>
      <c r="S24" s="59">
        <v>200000</v>
      </c>
      <c r="T24" s="60" t="e">
        <f>#REF!</f>
        <v>#REF!</v>
      </c>
      <c r="U24" s="11">
        <v>200000</v>
      </c>
    </row>
    <row r="25" spans="1:21" s="66" customFormat="1" ht="18" customHeight="1">
      <c r="A25" s="15" t="s">
        <v>227</v>
      </c>
      <c r="B25" s="5" t="s">
        <v>412</v>
      </c>
      <c r="C25" s="58">
        <f t="shared" ref="C25:U25" si="4">SUM(C26:C27)</f>
        <v>236925</v>
      </c>
      <c r="D25" s="58">
        <f t="shared" si="4"/>
        <v>1711692.1</v>
      </c>
      <c r="E25" s="58">
        <f t="shared" si="4"/>
        <v>2413761</v>
      </c>
      <c r="F25" s="58">
        <f t="shared" si="4"/>
        <v>482536</v>
      </c>
      <c r="G25" s="59">
        <f t="shared" si="4"/>
        <v>300000</v>
      </c>
      <c r="H25" s="58">
        <f t="shared" si="4"/>
        <v>308989</v>
      </c>
      <c r="I25" s="55">
        <f t="shared" si="4"/>
        <v>450000</v>
      </c>
      <c r="J25" s="55">
        <f t="shared" si="4"/>
        <v>93390</v>
      </c>
      <c r="K25" s="55">
        <f t="shared" si="4"/>
        <v>114920</v>
      </c>
      <c r="L25" s="55">
        <f t="shared" si="4"/>
        <v>300000</v>
      </c>
      <c r="M25" s="55">
        <f t="shared" si="4"/>
        <v>272850</v>
      </c>
      <c r="N25" s="55">
        <f t="shared" si="4"/>
        <v>450000</v>
      </c>
      <c r="O25" s="55">
        <f t="shared" si="4"/>
        <v>339345</v>
      </c>
      <c r="P25" s="55">
        <f t="shared" si="4"/>
        <v>300000</v>
      </c>
      <c r="Q25" s="55">
        <f t="shared" si="4"/>
        <v>545979.11</v>
      </c>
      <c r="R25" s="55" t="e">
        <f t="shared" si="4"/>
        <v>#REF!</v>
      </c>
      <c r="S25" s="55">
        <f t="shared" si="4"/>
        <v>150000</v>
      </c>
      <c r="T25" s="55" t="e">
        <f t="shared" si="4"/>
        <v>#REF!</v>
      </c>
      <c r="U25" s="55">
        <f t="shared" si="4"/>
        <v>150000</v>
      </c>
    </row>
    <row r="26" spans="1:21" ht="18" customHeight="1">
      <c r="A26" s="16" t="s">
        <v>228</v>
      </c>
      <c r="B26" s="6" t="s">
        <v>621</v>
      </c>
      <c r="C26" s="59"/>
      <c r="D26" s="59">
        <v>1471967.1</v>
      </c>
      <c r="E26" s="59">
        <v>2135500</v>
      </c>
      <c r="F26" s="59">
        <v>75000</v>
      </c>
      <c r="G26" s="59">
        <v>100000</v>
      </c>
      <c r="H26" s="59">
        <v>95839</v>
      </c>
      <c r="I26" s="60">
        <v>100000</v>
      </c>
      <c r="J26" s="60">
        <v>0</v>
      </c>
      <c r="K26" s="60"/>
      <c r="L26" s="60">
        <v>100000</v>
      </c>
      <c r="M26" s="34"/>
      <c r="N26" s="55">
        <v>100000</v>
      </c>
      <c r="O26" s="34"/>
      <c r="P26" s="55">
        <v>100000</v>
      </c>
      <c r="Q26" s="11">
        <v>194160</v>
      </c>
      <c r="R26" s="59" t="e">
        <f>#REF!</f>
        <v>#REF!</v>
      </c>
      <c r="S26" s="59"/>
      <c r="T26" s="55">
        <v>0</v>
      </c>
      <c r="U26" s="78"/>
    </row>
    <row r="27" spans="1:21" ht="18" customHeight="1">
      <c r="A27" s="16" t="s">
        <v>229</v>
      </c>
      <c r="B27" s="6" t="s">
        <v>1</v>
      </c>
      <c r="C27" s="59">
        <f>145000+91925</f>
        <v>236925</v>
      </c>
      <c r="D27" s="59">
        <v>239725</v>
      </c>
      <c r="E27" s="59">
        <v>278261</v>
      </c>
      <c r="F27" s="59">
        <v>407536</v>
      </c>
      <c r="G27" s="59">
        <v>200000</v>
      </c>
      <c r="H27" s="59">
        <v>213150</v>
      </c>
      <c r="I27" s="60">
        <v>350000</v>
      </c>
      <c r="J27" s="11">
        <v>93390</v>
      </c>
      <c r="K27" s="11">
        <v>114920</v>
      </c>
      <c r="L27" s="60">
        <v>200000</v>
      </c>
      <c r="M27" s="11">
        <v>272850</v>
      </c>
      <c r="N27" s="11">
        <v>350000</v>
      </c>
      <c r="O27" s="11">
        <v>339345</v>
      </c>
      <c r="P27" s="11">
        <v>200000</v>
      </c>
      <c r="Q27" s="11">
        <v>351819.11</v>
      </c>
      <c r="R27" s="59" t="e">
        <f>#REF!</f>
        <v>#REF!</v>
      </c>
      <c r="S27" s="59">
        <v>150000</v>
      </c>
      <c r="T27" s="55" t="e">
        <f>#REF!</f>
        <v>#REF!</v>
      </c>
      <c r="U27" s="11">
        <v>150000</v>
      </c>
    </row>
    <row r="28" spans="1:21" s="74" customFormat="1" ht="18" hidden="1" customHeight="1">
      <c r="A28" s="15" t="s">
        <v>230</v>
      </c>
      <c r="B28" s="5" t="s">
        <v>622</v>
      </c>
      <c r="C28" s="59"/>
      <c r="D28" s="59"/>
      <c r="E28" s="59"/>
      <c r="F28" s="59"/>
      <c r="G28" s="59">
        <f>SUM(G29:G31)</f>
        <v>0</v>
      </c>
      <c r="H28" s="59">
        <f>SUM(H29:H31)</f>
        <v>0</v>
      </c>
      <c r="I28" s="60"/>
      <c r="J28" s="60">
        <v>0</v>
      </c>
      <c r="K28" s="60"/>
      <c r="L28" s="60">
        <v>0</v>
      </c>
      <c r="M28" s="33"/>
      <c r="N28" s="33"/>
      <c r="O28" s="33"/>
      <c r="P28" s="33"/>
      <c r="Q28" s="34"/>
      <c r="R28" s="59">
        <v>0</v>
      </c>
      <c r="S28" s="59"/>
      <c r="T28" s="55"/>
      <c r="U28" s="101"/>
    </row>
    <row r="29" spans="1:21" ht="18" hidden="1" customHeight="1">
      <c r="A29" s="16" t="s">
        <v>231</v>
      </c>
      <c r="B29" s="6" t="s">
        <v>623</v>
      </c>
      <c r="C29" s="59"/>
      <c r="D29" s="59"/>
      <c r="E29" s="59"/>
      <c r="F29" s="59"/>
      <c r="G29" s="59">
        <v>0</v>
      </c>
      <c r="H29" s="59">
        <v>0</v>
      </c>
      <c r="I29" s="60">
        <v>0</v>
      </c>
      <c r="J29" s="60">
        <v>0</v>
      </c>
      <c r="K29" s="60"/>
      <c r="L29" s="60">
        <v>0</v>
      </c>
      <c r="M29" s="34"/>
      <c r="N29" s="34"/>
      <c r="O29" s="34"/>
      <c r="P29" s="34"/>
      <c r="Q29" s="34"/>
      <c r="R29" s="59">
        <v>0</v>
      </c>
      <c r="S29" s="59"/>
      <c r="T29" s="55"/>
      <c r="U29" s="78"/>
    </row>
    <row r="30" spans="1:21" ht="18" hidden="1" customHeight="1">
      <c r="A30" s="16" t="s">
        <v>232</v>
      </c>
      <c r="B30" s="6" t="s">
        <v>624</v>
      </c>
      <c r="C30" s="59"/>
      <c r="D30" s="59"/>
      <c r="E30" s="59"/>
      <c r="F30" s="59"/>
      <c r="G30" s="59">
        <v>0</v>
      </c>
      <c r="H30" s="59">
        <v>0</v>
      </c>
      <c r="I30" s="60">
        <v>0</v>
      </c>
      <c r="J30" s="60">
        <v>0</v>
      </c>
      <c r="K30" s="60"/>
      <c r="L30" s="60">
        <v>0</v>
      </c>
      <c r="M30" s="34"/>
      <c r="N30" s="34"/>
      <c r="O30" s="34"/>
      <c r="P30" s="34"/>
      <c r="Q30" s="34"/>
      <c r="R30" s="59">
        <v>0</v>
      </c>
      <c r="S30" s="59"/>
      <c r="T30" s="55"/>
      <c r="U30" s="78"/>
    </row>
    <row r="31" spans="1:21" ht="18" hidden="1" customHeight="1">
      <c r="A31" s="16" t="s">
        <v>233</v>
      </c>
      <c r="B31" s="6" t="s">
        <v>625</v>
      </c>
      <c r="C31" s="59"/>
      <c r="D31" s="59"/>
      <c r="E31" s="59"/>
      <c r="F31" s="59"/>
      <c r="G31" s="59">
        <v>0</v>
      </c>
      <c r="H31" s="59">
        <v>0</v>
      </c>
      <c r="I31" s="60">
        <v>0</v>
      </c>
      <c r="J31" s="60">
        <v>0</v>
      </c>
      <c r="K31" s="60"/>
      <c r="L31" s="60">
        <v>0</v>
      </c>
      <c r="M31" s="34"/>
      <c r="N31" s="34"/>
      <c r="O31" s="34"/>
      <c r="P31" s="34"/>
      <c r="Q31" s="55"/>
      <c r="R31" s="59">
        <v>0</v>
      </c>
      <c r="S31" s="59"/>
      <c r="T31" s="55"/>
      <c r="U31" s="78"/>
    </row>
    <row r="32" spans="1:21" s="66" customFormat="1" ht="18" customHeight="1">
      <c r="A32" s="15" t="s">
        <v>234</v>
      </c>
      <c r="B32" s="5" t="s">
        <v>393</v>
      </c>
      <c r="C32" s="58">
        <f t="shared" ref="C32:N32" si="5">SUM(C33:C40)</f>
        <v>6213406</v>
      </c>
      <c r="D32" s="58">
        <f t="shared" si="5"/>
        <v>14536007.299999999</v>
      </c>
      <c r="E32" s="58">
        <f t="shared" si="5"/>
        <v>10199126.09</v>
      </c>
      <c r="F32" s="58">
        <f t="shared" si="5"/>
        <v>5152882.3500000006</v>
      </c>
      <c r="G32" s="59">
        <f t="shared" si="5"/>
        <v>7975000</v>
      </c>
      <c r="H32" s="58">
        <f t="shared" si="5"/>
        <v>8233584.0699999994</v>
      </c>
      <c r="I32" s="55">
        <f t="shared" si="5"/>
        <v>6209111</v>
      </c>
      <c r="J32" s="55">
        <f t="shared" si="5"/>
        <v>1159077.47</v>
      </c>
      <c r="K32" s="55">
        <f t="shared" si="5"/>
        <v>1347959.9</v>
      </c>
      <c r="L32" s="55">
        <f t="shared" si="5"/>
        <v>6257500</v>
      </c>
      <c r="M32" s="55">
        <f t="shared" si="5"/>
        <v>4831872.7200000007</v>
      </c>
      <c r="N32" s="55">
        <f t="shared" si="5"/>
        <v>5350000</v>
      </c>
      <c r="O32" s="55">
        <f t="shared" ref="O32:U32" si="6">SUM(O33:O42)</f>
        <v>5687333.9199999999</v>
      </c>
      <c r="P32" s="55">
        <f t="shared" si="6"/>
        <v>6600000</v>
      </c>
      <c r="Q32" s="55">
        <f t="shared" si="6"/>
        <v>6618535.0300000003</v>
      </c>
      <c r="R32" s="55" t="e">
        <f t="shared" si="6"/>
        <v>#REF!</v>
      </c>
      <c r="S32" s="55">
        <f t="shared" si="6"/>
        <v>7011000</v>
      </c>
      <c r="T32" s="55" t="e">
        <f t="shared" si="6"/>
        <v>#REF!</v>
      </c>
      <c r="U32" s="55">
        <f t="shared" si="6"/>
        <v>11451000</v>
      </c>
    </row>
    <row r="33" spans="1:21" ht="18" customHeight="1">
      <c r="A33" s="16" t="s">
        <v>235</v>
      </c>
      <c r="B33" s="6" t="s">
        <v>626</v>
      </c>
      <c r="C33" s="59">
        <v>273266</v>
      </c>
      <c r="D33" s="59">
        <v>446977.75</v>
      </c>
      <c r="E33" s="59">
        <v>400377.32</v>
      </c>
      <c r="F33" s="59">
        <v>322287.39</v>
      </c>
      <c r="G33" s="59">
        <v>250000</v>
      </c>
      <c r="H33" s="59">
        <v>247703.91</v>
      </c>
      <c r="I33" s="60">
        <v>300000</v>
      </c>
      <c r="J33" s="11">
        <v>242320.97</v>
      </c>
      <c r="K33" s="11">
        <v>281163.40000000002</v>
      </c>
      <c r="L33" s="60">
        <v>300000</v>
      </c>
      <c r="M33" s="11">
        <v>489330.39</v>
      </c>
      <c r="N33" s="11">
        <v>500000</v>
      </c>
      <c r="O33" s="11">
        <v>522564.25</v>
      </c>
      <c r="P33" s="11">
        <v>300000</v>
      </c>
      <c r="Q33" s="11">
        <v>477275.32</v>
      </c>
      <c r="R33" s="59" t="e">
        <f>#REF!</f>
        <v>#REF!</v>
      </c>
      <c r="S33" s="59">
        <v>350000</v>
      </c>
      <c r="T33" s="60" t="e">
        <f>#REF!</f>
        <v>#REF!</v>
      </c>
      <c r="U33" s="11">
        <v>350000</v>
      </c>
    </row>
    <row r="34" spans="1:21" ht="18" customHeight="1">
      <c r="A34" s="16" t="s">
        <v>236</v>
      </c>
      <c r="B34" s="6" t="s">
        <v>399</v>
      </c>
      <c r="C34" s="59">
        <v>167000</v>
      </c>
      <c r="D34" s="59">
        <v>345800</v>
      </c>
      <c r="E34" s="59">
        <v>996679.5</v>
      </c>
      <c r="F34" s="59">
        <v>994978</v>
      </c>
      <c r="G34" s="59">
        <v>900000</v>
      </c>
      <c r="H34" s="59">
        <v>957450</v>
      </c>
      <c r="I34" s="60">
        <v>1000000</v>
      </c>
      <c r="J34" s="11">
        <v>560400</v>
      </c>
      <c r="K34" s="11">
        <v>615400</v>
      </c>
      <c r="L34" s="60">
        <v>1100000</v>
      </c>
      <c r="M34" s="11">
        <v>970300</v>
      </c>
      <c r="N34" s="11">
        <v>1200000</v>
      </c>
      <c r="O34" s="11">
        <v>1276900</v>
      </c>
      <c r="P34" s="11">
        <v>1100000</v>
      </c>
      <c r="Q34" s="60">
        <v>1367650</v>
      </c>
      <c r="R34" s="59" t="e">
        <f>#REF!</f>
        <v>#REF!</v>
      </c>
      <c r="S34" s="59">
        <v>500000</v>
      </c>
      <c r="T34" s="60" t="e">
        <f>#REF!</f>
        <v>#REF!</v>
      </c>
      <c r="U34" s="11">
        <v>5000000</v>
      </c>
    </row>
    <row r="35" spans="1:21" ht="18" customHeight="1">
      <c r="A35" s="16" t="s">
        <v>237</v>
      </c>
      <c r="B35" s="6" t="s">
        <v>154</v>
      </c>
      <c r="C35" s="59">
        <v>0</v>
      </c>
      <c r="D35" s="59">
        <v>1361233.04</v>
      </c>
      <c r="E35" s="59">
        <v>3753.5</v>
      </c>
      <c r="F35" s="59">
        <v>96107</v>
      </c>
      <c r="G35" s="59">
        <v>400000</v>
      </c>
      <c r="H35" s="59">
        <v>401917.55</v>
      </c>
      <c r="I35" s="60">
        <v>10000</v>
      </c>
      <c r="J35" s="11">
        <v>69428</v>
      </c>
      <c r="K35" s="11">
        <v>69428</v>
      </c>
      <c r="L35" s="60">
        <v>15000</v>
      </c>
      <c r="M35" s="60">
        <v>70743</v>
      </c>
      <c r="N35" s="60">
        <v>100000</v>
      </c>
      <c r="O35" s="60">
        <v>110156</v>
      </c>
      <c r="P35" s="60">
        <v>750000</v>
      </c>
      <c r="Q35" s="60">
        <v>1111550</v>
      </c>
      <c r="R35" s="59" t="e">
        <f>#REF!</f>
        <v>#REF!</v>
      </c>
      <c r="S35" s="59">
        <v>50000</v>
      </c>
      <c r="T35" s="60" t="e">
        <f>#REF!</f>
        <v>#REF!</v>
      </c>
      <c r="U35" s="11">
        <v>50000</v>
      </c>
    </row>
    <row r="36" spans="1:21" ht="18" customHeight="1">
      <c r="A36" s="16" t="s">
        <v>238</v>
      </c>
      <c r="B36" s="6" t="s">
        <v>627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60">
        <v>0</v>
      </c>
      <c r="J36" s="60">
        <v>0</v>
      </c>
      <c r="K36" s="60"/>
      <c r="L36" s="60">
        <v>0</v>
      </c>
      <c r="M36" s="34"/>
      <c r="N36" s="34"/>
      <c r="O36" s="34"/>
      <c r="P36" s="34"/>
      <c r="Q36" s="11">
        <v>0</v>
      </c>
      <c r="R36" s="59" t="e">
        <f>#REF!</f>
        <v>#REF!</v>
      </c>
      <c r="S36" s="59">
        <v>0</v>
      </c>
      <c r="T36" s="60" t="e">
        <f>#REF!</f>
        <v>#REF!</v>
      </c>
      <c r="U36" s="78"/>
    </row>
    <row r="37" spans="1:21" ht="18" customHeight="1">
      <c r="A37" s="16" t="s">
        <v>239</v>
      </c>
      <c r="B37" s="6" t="s">
        <v>628</v>
      </c>
      <c r="C37" s="59">
        <v>326545</v>
      </c>
      <c r="D37" s="59">
        <v>783466.38</v>
      </c>
      <c r="E37" s="59">
        <v>308713</v>
      </c>
      <c r="F37" s="59">
        <v>509500</v>
      </c>
      <c r="G37" s="59">
        <v>25000</v>
      </c>
      <c r="H37" s="59">
        <v>26246</v>
      </c>
      <c r="I37" s="60">
        <v>150000</v>
      </c>
      <c r="J37" s="60">
        <v>0</v>
      </c>
      <c r="K37" s="60">
        <v>57000</v>
      </c>
      <c r="L37" s="60">
        <v>150000</v>
      </c>
      <c r="M37" s="11">
        <v>63000</v>
      </c>
      <c r="N37" s="11">
        <v>50000</v>
      </c>
      <c r="O37" s="11">
        <v>64000</v>
      </c>
      <c r="P37" s="11">
        <v>50000</v>
      </c>
      <c r="Q37" s="60">
        <v>36000</v>
      </c>
      <c r="R37" s="59" t="e">
        <f>#REF!</f>
        <v>#REF!</v>
      </c>
      <c r="S37" s="59">
        <v>50000</v>
      </c>
      <c r="T37" s="60" t="e">
        <f>#REF!</f>
        <v>#REF!</v>
      </c>
      <c r="U37" s="11">
        <v>50000</v>
      </c>
    </row>
    <row r="38" spans="1:21" ht="18" customHeight="1">
      <c r="A38" s="16" t="s">
        <v>240</v>
      </c>
      <c r="B38" s="6" t="s">
        <v>629</v>
      </c>
      <c r="C38" s="59">
        <f>5003326+90207</f>
        <v>5093533</v>
      </c>
      <c r="D38" s="59">
        <f>10890393.7+164943</f>
        <v>11055336.699999999</v>
      </c>
      <c r="E38" s="59">
        <f>6382554.07+652070.59</f>
        <v>7034624.6600000001</v>
      </c>
      <c r="F38" s="59">
        <v>2713657.91</v>
      </c>
      <c r="G38" s="59">
        <v>5500000</v>
      </c>
      <c r="H38" s="59">
        <v>5670522.4799999995</v>
      </c>
      <c r="I38" s="60">
        <v>3999111</v>
      </c>
      <c r="J38" s="11">
        <v>49820</v>
      </c>
      <c r="K38" s="11">
        <v>51140</v>
      </c>
      <c r="L38" s="60">
        <v>3942500</v>
      </c>
      <c r="M38" s="60">
        <v>2767384</v>
      </c>
      <c r="N38" s="60">
        <v>3000000</v>
      </c>
      <c r="O38" s="60">
        <f>2706918.49+117738+120</f>
        <v>2824776.49</v>
      </c>
      <c r="P38" s="60">
        <v>3350000</v>
      </c>
      <c r="Q38" s="11">
        <v>2618050</v>
      </c>
      <c r="R38" s="59">
        <v>4350000</v>
      </c>
      <c r="S38" s="59">
        <v>5001000</v>
      </c>
      <c r="T38" s="60" t="e">
        <f>#REF!</f>
        <v>#REF!</v>
      </c>
      <c r="U38" s="11">
        <v>5001000</v>
      </c>
    </row>
    <row r="39" spans="1:21" ht="18" customHeight="1">
      <c r="A39" s="16" t="s">
        <v>241</v>
      </c>
      <c r="B39" s="6" t="s">
        <v>394</v>
      </c>
      <c r="C39" s="59">
        <v>341372</v>
      </c>
      <c r="D39" s="59">
        <v>509693.43</v>
      </c>
      <c r="E39" s="59">
        <v>1366727.67</v>
      </c>
      <c r="F39" s="59">
        <v>421502.05</v>
      </c>
      <c r="G39" s="59">
        <v>800000</v>
      </c>
      <c r="H39" s="59">
        <v>806027.13</v>
      </c>
      <c r="I39" s="60">
        <v>650000</v>
      </c>
      <c r="J39" s="11">
        <v>192508.5</v>
      </c>
      <c r="K39" s="11">
        <v>212578.5</v>
      </c>
      <c r="L39" s="60">
        <v>650000</v>
      </c>
      <c r="M39" s="11">
        <v>354265.33</v>
      </c>
      <c r="N39" s="11">
        <v>400000</v>
      </c>
      <c r="O39" s="11">
        <v>399769.43</v>
      </c>
      <c r="P39" s="11">
        <v>650000</v>
      </c>
      <c r="Q39" s="11">
        <v>476600.5</v>
      </c>
      <c r="R39" s="59" t="e">
        <f>#REF!</f>
        <v>#REF!</v>
      </c>
      <c r="S39" s="59">
        <v>650000</v>
      </c>
      <c r="T39" s="60" t="e">
        <f>#REF!</f>
        <v>#REF!</v>
      </c>
      <c r="U39" s="11">
        <v>600000</v>
      </c>
    </row>
    <row r="40" spans="1:21" ht="18" customHeight="1">
      <c r="A40" s="16" t="s">
        <v>242</v>
      </c>
      <c r="B40" s="6" t="s">
        <v>0</v>
      </c>
      <c r="C40" s="59">
        <v>11690</v>
      </c>
      <c r="D40" s="59">
        <v>33500</v>
      </c>
      <c r="E40" s="59">
        <v>88250.44</v>
      </c>
      <c r="F40" s="59">
        <v>94850</v>
      </c>
      <c r="G40" s="59">
        <v>100000</v>
      </c>
      <c r="H40" s="59">
        <v>123717</v>
      </c>
      <c r="I40" s="60">
        <v>100000</v>
      </c>
      <c r="J40" s="11">
        <v>44600</v>
      </c>
      <c r="K40" s="11">
        <v>61250</v>
      </c>
      <c r="L40" s="60">
        <v>100000</v>
      </c>
      <c r="M40" s="11">
        <v>116850</v>
      </c>
      <c r="N40" s="11">
        <v>100000</v>
      </c>
      <c r="O40" s="11">
        <v>129600</v>
      </c>
      <c r="P40" s="11">
        <v>100000</v>
      </c>
      <c r="Q40" s="51">
        <v>144234.28</v>
      </c>
      <c r="R40" s="59" t="e">
        <f>#REF!</f>
        <v>#REF!</v>
      </c>
      <c r="S40" s="59">
        <v>100000</v>
      </c>
      <c r="T40" s="60" t="e">
        <f>#REF!</f>
        <v>#REF!</v>
      </c>
      <c r="U40" s="11">
        <v>100000</v>
      </c>
    </row>
    <row r="41" spans="1:21" ht="18" customHeight="1">
      <c r="A41" s="49" t="s">
        <v>309</v>
      </c>
      <c r="B41" s="50" t="s">
        <v>311</v>
      </c>
      <c r="C41" s="79"/>
      <c r="D41" s="79"/>
      <c r="E41" s="79"/>
      <c r="F41" s="79"/>
      <c r="G41" s="79"/>
      <c r="H41" s="79"/>
      <c r="I41" s="80"/>
      <c r="J41" s="51"/>
      <c r="K41" s="51"/>
      <c r="L41" s="80"/>
      <c r="M41" s="52"/>
      <c r="N41" s="51">
        <v>200000</v>
      </c>
      <c r="O41" s="51">
        <v>205073.75</v>
      </c>
      <c r="P41" s="51">
        <v>150000</v>
      </c>
      <c r="Q41" s="51">
        <v>217594.93</v>
      </c>
      <c r="R41" s="59" t="e">
        <f>#REF!</f>
        <v>#REF!</v>
      </c>
      <c r="S41" s="59">
        <v>150000</v>
      </c>
      <c r="T41" s="60" t="e">
        <f>#REF!</f>
        <v>#REF!</v>
      </c>
      <c r="U41" s="11">
        <v>150000</v>
      </c>
    </row>
    <row r="42" spans="1:21" s="82" customFormat="1" ht="27" customHeight="1">
      <c r="A42" s="16" t="s">
        <v>310</v>
      </c>
      <c r="B42" s="6" t="s">
        <v>312</v>
      </c>
      <c r="C42" s="59"/>
      <c r="D42" s="59"/>
      <c r="E42" s="59"/>
      <c r="F42" s="59"/>
      <c r="G42" s="59"/>
      <c r="H42" s="59"/>
      <c r="I42" s="60"/>
      <c r="J42" s="11"/>
      <c r="K42" s="11"/>
      <c r="L42" s="60"/>
      <c r="M42" s="34"/>
      <c r="N42" s="11">
        <v>150000</v>
      </c>
      <c r="O42" s="11">
        <v>154494</v>
      </c>
      <c r="P42" s="70">
        <v>150000</v>
      </c>
      <c r="Q42" s="11">
        <v>169580</v>
      </c>
      <c r="R42" s="81" t="e">
        <f>#REF!</f>
        <v>#REF!</v>
      </c>
      <c r="S42" s="59">
        <v>160000</v>
      </c>
      <c r="T42" s="60" t="e">
        <f>#REF!</f>
        <v>#REF!</v>
      </c>
      <c r="U42" s="11">
        <v>150000</v>
      </c>
    </row>
    <row r="43" spans="1:21" s="82" customFormat="1" ht="18" customHeight="1">
      <c r="A43" s="17"/>
      <c r="B43" s="14"/>
      <c r="C43" s="72"/>
      <c r="D43" s="72"/>
      <c r="E43" s="72"/>
      <c r="F43" s="72"/>
      <c r="G43" s="72"/>
      <c r="H43" s="72"/>
      <c r="I43" s="71"/>
      <c r="J43" s="23"/>
      <c r="K43" s="23"/>
      <c r="L43" s="71"/>
      <c r="M43" s="53"/>
      <c r="N43" s="23"/>
      <c r="O43" s="23"/>
      <c r="P43" s="23"/>
    </row>
    <row r="44" spans="1:21" s="82" customFormat="1" ht="18" customHeight="1">
      <c r="A44" s="17"/>
      <c r="B44" s="14"/>
      <c r="C44" s="72"/>
      <c r="D44" s="72"/>
      <c r="E44" s="72"/>
      <c r="F44" s="72"/>
      <c r="G44" s="72"/>
      <c r="H44" s="72"/>
      <c r="I44" s="71"/>
      <c r="J44" s="23"/>
      <c r="K44" s="23"/>
      <c r="L44" s="71"/>
      <c r="M44" s="53"/>
      <c r="N44" s="23"/>
      <c r="O44" s="23"/>
      <c r="P44" s="23"/>
      <c r="Q44" s="23"/>
      <c r="R44" s="72"/>
      <c r="S44" s="72"/>
      <c r="T44" s="71"/>
    </row>
    <row r="45" spans="1:21" s="82" customFormat="1" ht="18" customHeight="1">
      <c r="A45" s="17"/>
      <c r="B45" s="14"/>
      <c r="C45" s="72"/>
      <c r="D45" s="72"/>
      <c r="E45" s="72"/>
      <c r="F45" s="72"/>
      <c r="G45" s="72"/>
      <c r="H45" s="72"/>
      <c r="I45" s="71"/>
      <c r="J45" s="23"/>
      <c r="K45" s="23"/>
      <c r="L45" s="71"/>
      <c r="M45" s="53"/>
      <c r="N45" s="23"/>
      <c r="O45" s="23"/>
      <c r="P45" s="23"/>
      <c r="Q45" s="23"/>
      <c r="R45" s="72"/>
      <c r="S45" s="72"/>
      <c r="T45" s="71"/>
    </row>
    <row r="46" spans="1:21" s="82" customFormat="1" ht="18" customHeight="1">
      <c r="A46" s="17"/>
      <c r="B46" s="14"/>
      <c r="C46" s="72"/>
      <c r="D46" s="72"/>
      <c r="E46" s="72"/>
      <c r="F46" s="72"/>
      <c r="G46" s="72"/>
      <c r="H46" s="72"/>
      <c r="I46" s="71"/>
      <c r="J46" s="23"/>
      <c r="K46" s="23"/>
      <c r="L46" s="71"/>
      <c r="M46" s="53"/>
      <c r="N46" s="23"/>
      <c r="O46" s="23"/>
      <c r="P46" s="23"/>
      <c r="Q46" s="23"/>
      <c r="R46" s="72"/>
      <c r="S46" s="72"/>
      <c r="T46" s="71"/>
    </row>
    <row r="47" spans="1:21" s="82" customFormat="1" ht="18" customHeight="1">
      <c r="A47" s="17"/>
      <c r="B47" s="14"/>
      <c r="C47" s="72"/>
      <c r="D47" s="72"/>
      <c r="E47" s="72"/>
      <c r="F47" s="72"/>
      <c r="G47" s="72"/>
      <c r="H47" s="72"/>
      <c r="I47" s="71"/>
      <c r="J47" s="23"/>
      <c r="K47" s="23"/>
      <c r="L47" s="71"/>
      <c r="M47" s="53"/>
      <c r="N47" s="23"/>
      <c r="O47" s="23"/>
      <c r="P47" s="23"/>
      <c r="Q47" s="23"/>
      <c r="R47" s="72"/>
      <c r="S47" s="72"/>
      <c r="T47" s="71"/>
    </row>
    <row r="48" spans="1:21" s="82" customFormat="1" ht="18" customHeight="1">
      <c r="A48" s="17"/>
      <c r="B48" s="14"/>
      <c r="C48" s="72"/>
      <c r="D48" s="72"/>
      <c r="E48" s="72"/>
      <c r="F48" s="72"/>
      <c r="G48" s="72"/>
      <c r="H48" s="72"/>
      <c r="I48" s="71"/>
      <c r="J48" s="23"/>
      <c r="K48" s="23"/>
      <c r="L48" s="71"/>
      <c r="M48" s="53"/>
      <c r="N48" s="23"/>
      <c r="O48" s="23"/>
      <c r="P48" s="23"/>
      <c r="Q48" s="23"/>
      <c r="R48" s="72"/>
      <c r="S48" s="72"/>
      <c r="T48" s="71"/>
    </row>
    <row r="49" spans="1:21" s="82" customFormat="1" ht="18" customHeight="1">
      <c r="A49" s="17"/>
      <c r="B49" s="14"/>
      <c r="C49" s="72"/>
      <c r="D49" s="72"/>
      <c r="E49" s="72"/>
      <c r="F49" s="72"/>
      <c r="G49" s="72"/>
      <c r="H49" s="72"/>
      <c r="I49" s="71"/>
      <c r="J49" s="23"/>
      <c r="K49" s="23"/>
      <c r="L49" s="71"/>
      <c r="M49" s="53"/>
      <c r="N49" s="23"/>
      <c r="O49" s="23"/>
      <c r="P49" s="23"/>
      <c r="Q49" s="23"/>
      <c r="R49" s="72"/>
      <c r="S49" s="72"/>
      <c r="T49" s="71"/>
    </row>
    <row r="50" spans="1:21" s="82" customFormat="1" ht="18" customHeight="1">
      <c r="A50" s="17"/>
      <c r="B50" s="14"/>
      <c r="C50" s="72"/>
      <c r="D50" s="72"/>
      <c r="E50" s="72"/>
      <c r="F50" s="72"/>
      <c r="G50" s="72"/>
      <c r="H50" s="72"/>
      <c r="I50" s="71"/>
      <c r="J50" s="23"/>
      <c r="K50" s="23"/>
      <c r="L50" s="71"/>
      <c r="M50" s="53"/>
      <c r="N50" s="23"/>
      <c r="O50" s="23"/>
      <c r="P50" s="23"/>
      <c r="Q50" s="23"/>
      <c r="R50" s="72"/>
      <c r="S50" s="72"/>
      <c r="T50" s="71"/>
    </row>
    <row r="51" spans="1:21" s="82" customFormat="1" ht="18" customHeight="1">
      <c r="A51" s="17"/>
      <c r="B51" s="14"/>
      <c r="C51" s="72"/>
      <c r="D51" s="72"/>
      <c r="E51" s="72"/>
      <c r="F51" s="72"/>
      <c r="G51" s="72"/>
      <c r="H51" s="72"/>
      <c r="I51" s="71"/>
      <c r="J51" s="23"/>
      <c r="K51" s="23"/>
      <c r="L51" s="71"/>
      <c r="M51" s="53"/>
      <c r="N51" s="23"/>
      <c r="O51" s="23"/>
      <c r="P51" s="23"/>
      <c r="Q51" s="23"/>
      <c r="R51" s="72"/>
      <c r="S51" s="72"/>
      <c r="T51" s="71"/>
    </row>
    <row r="52" spans="1:21" s="82" customFormat="1" ht="18" customHeight="1">
      <c r="A52" s="17"/>
      <c r="B52" s="14"/>
      <c r="C52" s="72"/>
      <c r="D52" s="72"/>
      <c r="E52" s="72"/>
      <c r="F52" s="72"/>
      <c r="G52" s="72"/>
      <c r="H52" s="72"/>
      <c r="I52" s="71"/>
      <c r="J52" s="23"/>
      <c r="K52" s="23"/>
      <c r="L52" s="71"/>
      <c r="M52" s="53"/>
      <c r="N52" s="23"/>
      <c r="O52" s="23"/>
      <c r="P52" s="23"/>
      <c r="Q52" s="23"/>
      <c r="R52" s="72"/>
      <c r="S52" s="72"/>
      <c r="T52" s="71"/>
    </row>
    <row r="53" spans="1:21" s="82" customFormat="1" ht="18" customHeight="1">
      <c r="A53" s="17"/>
      <c r="B53" s="14"/>
      <c r="C53" s="72"/>
      <c r="D53" s="72"/>
      <c r="E53" s="72"/>
      <c r="F53" s="72"/>
      <c r="G53" s="72"/>
      <c r="H53" s="72"/>
      <c r="I53" s="71"/>
      <c r="J53" s="23"/>
      <c r="K53" s="23"/>
      <c r="L53" s="71"/>
      <c r="M53" s="53"/>
      <c r="N53" s="23"/>
      <c r="O53" s="23"/>
      <c r="P53" s="23"/>
      <c r="Q53" s="23"/>
      <c r="R53" s="72"/>
      <c r="S53" s="72"/>
      <c r="T53" s="71"/>
    </row>
    <row r="54" spans="1:21" s="82" customFormat="1" ht="18" customHeight="1">
      <c r="A54" s="17"/>
      <c r="B54" s="14"/>
      <c r="C54" s="72"/>
      <c r="D54" s="72"/>
      <c r="E54" s="72"/>
      <c r="F54" s="72"/>
      <c r="G54" s="72"/>
      <c r="H54" s="72"/>
      <c r="I54" s="71"/>
      <c r="J54" s="23"/>
      <c r="K54" s="23"/>
      <c r="L54" s="71"/>
      <c r="M54" s="53"/>
      <c r="N54" s="23"/>
      <c r="O54" s="23"/>
      <c r="P54" s="23"/>
      <c r="Q54" s="23"/>
      <c r="R54" s="72"/>
      <c r="S54" s="72"/>
      <c r="T54" s="71"/>
    </row>
    <row r="55" spans="1:21" s="82" customFormat="1" ht="18" customHeight="1">
      <c r="A55" s="17"/>
      <c r="B55" s="14"/>
      <c r="C55" s="72"/>
      <c r="D55" s="72"/>
      <c r="E55" s="72"/>
      <c r="F55" s="72"/>
      <c r="G55" s="72"/>
      <c r="H55" s="72"/>
      <c r="I55" s="71"/>
      <c r="J55" s="23"/>
      <c r="K55" s="23"/>
      <c r="L55" s="71"/>
      <c r="M55" s="53"/>
      <c r="N55" s="23"/>
      <c r="O55" s="23"/>
      <c r="P55" s="23"/>
      <c r="Q55" s="23"/>
      <c r="R55" s="72"/>
      <c r="S55" s="72"/>
      <c r="T55" s="71"/>
    </row>
    <row r="56" spans="1:21" s="82" customFormat="1" ht="18" customHeight="1">
      <c r="A56" s="17"/>
      <c r="B56" s="14"/>
      <c r="C56" s="72"/>
      <c r="D56" s="72"/>
      <c r="E56" s="72"/>
      <c r="F56" s="72"/>
      <c r="G56" s="72"/>
      <c r="H56" s="72"/>
      <c r="I56" s="71"/>
      <c r="J56" s="23"/>
      <c r="K56" s="23"/>
      <c r="L56" s="71"/>
      <c r="M56" s="53"/>
      <c r="N56" s="23"/>
      <c r="O56" s="23"/>
      <c r="P56" s="23"/>
      <c r="Q56" s="23"/>
      <c r="R56" s="72"/>
      <c r="S56" s="72"/>
      <c r="T56" s="71"/>
    </row>
    <row r="57" spans="1:21" s="82" customFormat="1" ht="18" customHeight="1">
      <c r="A57" s="17"/>
      <c r="B57" s="14"/>
      <c r="C57" s="72"/>
      <c r="D57" s="72"/>
      <c r="E57" s="72"/>
      <c r="F57" s="72"/>
      <c r="G57" s="72"/>
      <c r="H57" s="72"/>
      <c r="I57" s="71"/>
      <c r="J57" s="23"/>
      <c r="K57" s="23"/>
      <c r="L57" s="71"/>
      <c r="M57" s="53"/>
      <c r="N57" s="23"/>
      <c r="O57" s="23"/>
      <c r="P57" s="23"/>
      <c r="Q57" s="23"/>
      <c r="R57" s="72"/>
      <c r="S57" s="72"/>
      <c r="T57" s="71"/>
    </row>
    <row r="58" spans="1:21" s="82" customFormat="1" ht="18" customHeight="1">
      <c r="A58" s="17"/>
      <c r="B58" s="14"/>
      <c r="C58" s="72"/>
      <c r="D58" s="72"/>
      <c r="E58" s="72"/>
      <c r="F58" s="72"/>
      <c r="G58" s="72"/>
      <c r="H58" s="72"/>
      <c r="I58" s="71"/>
      <c r="J58" s="23"/>
      <c r="K58" s="23"/>
      <c r="L58" s="71"/>
      <c r="M58" s="53"/>
      <c r="N58" s="23"/>
      <c r="O58" s="23"/>
      <c r="P58" s="23"/>
      <c r="Q58" s="23"/>
      <c r="R58" s="72"/>
      <c r="S58" s="72"/>
      <c r="T58" s="71"/>
    </row>
    <row r="59" spans="1:21" s="82" customFormat="1" ht="18" customHeight="1">
      <c r="A59" s="17"/>
      <c r="B59" s="14"/>
      <c r="C59" s="72"/>
      <c r="D59" s="72"/>
      <c r="E59" s="72"/>
      <c r="F59" s="72"/>
      <c r="G59" s="72"/>
      <c r="H59" s="72"/>
      <c r="I59" s="71"/>
      <c r="J59" s="23"/>
      <c r="K59" s="23"/>
      <c r="L59" s="71"/>
      <c r="M59" s="53"/>
      <c r="N59" s="23"/>
      <c r="O59" s="23"/>
      <c r="P59" s="23"/>
      <c r="Q59" s="23"/>
      <c r="R59" s="72"/>
      <c r="S59" s="72"/>
      <c r="T59" s="71"/>
    </row>
    <row r="60" spans="1:21" s="82" customFormat="1" ht="18" customHeight="1">
      <c r="A60" s="17"/>
      <c r="B60" s="14"/>
      <c r="C60" s="72"/>
      <c r="D60" s="72"/>
      <c r="E60" s="72"/>
      <c r="F60" s="72"/>
      <c r="G60" s="72"/>
      <c r="H60" s="72"/>
      <c r="I60" s="71"/>
      <c r="J60" s="23"/>
      <c r="K60" s="23"/>
      <c r="L60" s="71"/>
      <c r="M60" s="53"/>
      <c r="N60" s="23"/>
      <c r="O60" s="23"/>
      <c r="P60" s="23"/>
      <c r="Q60" s="23"/>
      <c r="R60" s="72"/>
      <c r="S60" s="72"/>
      <c r="T60" s="71"/>
    </row>
    <row r="61" spans="1:21" s="82" customFormat="1" ht="18" customHeight="1">
      <c r="A61" s="17"/>
      <c r="B61" s="14"/>
      <c r="C61" s="72"/>
      <c r="D61" s="72"/>
      <c r="E61" s="72"/>
      <c r="F61" s="72"/>
      <c r="G61" s="72"/>
      <c r="H61" s="72"/>
      <c r="I61" s="71"/>
      <c r="J61" s="23"/>
      <c r="K61" s="23"/>
      <c r="L61" s="71"/>
      <c r="M61" s="53"/>
      <c r="N61" s="23"/>
      <c r="O61" s="23"/>
      <c r="P61" s="23"/>
      <c r="Q61" s="23"/>
      <c r="R61" s="72"/>
      <c r="S61" s="72"/>
      <c r="T61" s="71"/>
    </row>
    <row r="62" spans="1:21" s="82" customFormat="1" ht="68.25" customHeight="1">
      <c r="A62" s="17"/>
      <c r="B62" s="14"/>
      <c r="C62" s="72"/>
      <c r="D62" s="72"/>
      <c r="E62" s="72"/>
      <c r="F62" s="72"/>
      <c r="G62" s="72"/>
      <c r="H62" s="72"/>
      <c r="I62" s="71"/>
      <c r="J62" s="23"/>
      <c r="K62" s="23"/>
      <c r="L62" s="71"/>
      <c r="M62" s="53"/>
      <c r="N62" s="23"/>
      <c r="O62" s="23"/>
      <c r="P62" s="23"/>
      <c r="Q62" s="23"/>
      <c r="R62" s="72"/>
      <c r="S62" s="72"/>
      <c r="T62" s="71"/>
    </row>
    <row r="63" spans="1:21" s="82" customFormat="1" ht="47.25" customHeight="1">
      <c r="A63" s="73" t="s">
        <v>415</v>
      </c>
      <c r="B63" s="73" t="s">
        <v>416</v>
      </c>
      <c r="C63" s="9" t="s">
        <v>203</v>
      </c>
      <c r="D63" s="9" t="s">
        <v>204</v>
      </c>
      <c r="E63" s="9" t="s">
        <v>197</v>
      </c>
      <c r="F63" s="9" t="s">
        <v>198</v>
      </c>
      <c r="G63" s="9" t="s">
        <v>407</v>
      </c>
      <c r="H63" s="9" t="s">
        <v>397</v>
      </c>
      <c r="I63" s="9" t="s">
        <v>294</v>
      </c>
      <c r="J63" s="9" t="s">
        <v>152</v>
      </c>
      <c r="K63" s="9" t="s">
        <v>205</v>
      </c>
      <c r="L63" s="9" t="s">
        <v>153</v>
      </c>
      <c r="M63" s="9" t="s">
        <v>296</v>
      </c>
      <c r="N63" s="9" t="s">
        <v>313</v>
      </c>
      <c r="O63" s="9" t="s">
        <v>298</v>
      </c>
      <c r="P63" s="9" t="s">
        <v>329</v>
      </c>
      <c r="Q63" s="95" t="s">
        <v>330</v>
      </c>
      <c r="R63" s="95" t="s">
        <v>347</v>
      </c>
      <c r="S63" s="95" t="s">
        <v>332</v>
      </c>
      <c r="T63" s="95" t="s">
        <v>346</v>
      </c>
      <c r="U63" s="95" t="s">
        <v>348</v>
      </c>
    </row>
    <row r="64" spans="1:21" s="74" customFormat="1" ht="23.25" customHeight="1">
      <c r="A64" s="18">
        <v>2</v>
      </c>
      <c r="B64" s="7" t="s">
        <v>630</v>
      </c>
      <c r="C64" s="58">
        <f t="shared" ref="C64:N64" si="7">C65+C104+C111</f>
        <v>47374482</v>
      </c>
      <c r="D64" s="58">
        <f t="shared" si="7"/>
        <v>86895183.520000011</v>
      </c>
      <c r="E64" s="58">
        <f t="shared" si="7"/>
        <v>70889404.090000004</v>
      </c>
      <c r="F64" s="58">
        <f t="shared" si="7"/>
        <v>101577871.79000001</v>
      </c>
      <c r="G64" s="59">
        <f t="shared" si="7"/>
        <v>113798600</v>
      </c>
      <c r="H64" s="58">
        <f t="shared" si="7"/>
        <v>99186163</v>
      </c>
      <c r="I64" s="55">
        <f t="shared" si="7"/>
        <v>146424114</v>
      </c>
      <c r="J64" s="55">
        <f t="shared" si="7"/>
        <v>32927505</v>
      </c>
      <c r="K64" s="55">
        <f t="shared" si="7"/>
        <v>36217655</v>
      </c>
      <c r="L64" s="55">
        <f t="shared" si="7"/>
        <v>69634425</v>
      </c>
      <c r="M64" s="55">
        <f t="shared" si="7"/>
        <v>72923108.920000002</v>
      </c>
      <c r="N64" s="55">
        <f t="shared" si="7"/>
        <v>125989808.75</v>
      </c>
      <c r="O64" s="55">
        <f t="shared" ref="O64:U64" si="8">O65+O100+O104+O111</f>
        <v>123980419.29000001</v>
      </c>
      <c r="P64" s="55">
        <f t="shared" si="8"/>
        <v>166460378.63</v>
      </c>
      <c r="Q64" s="55">
        <f t="shared" si="8"/>
        <v>138131821</v>
      </c>
      <c r="R64" s="55" t="e">
        <f t="shared" si="8"/>
        <v>#REF!</v>
      </c>
      <c r="S64" s="55">
        <f t="shared" si="8"/>
        <v>181878419</v>
      </c>
      <c r="T64" s="60" t="e">
        <f t="shared" si="8"/>
        <v>#REF!</v>
      </c>
      <c r="U64" s="60">
        <f t="shared" si="8"/>
        <v>139817300</v>
      </c>
    </row>
    <row r="65" spans="1:21" s="66" customFormat="1" ht="18" customHeight="1">
      <c r="A65" s="15" t="s">
        <v>243</v>
      </c>
      <c r="B65" s="5" t="s">
        <v>395</v>
      </c>
      <c r="C65" s="58">
        <f t="shared" ref="C65:O65" si="9">C66+C85+C90+C97+C100</f>
        <v>37394297</v>
      </c>
      <c r="D65" s="58">
        <f t="shared" si="9"/>
        <v>75142961.620000005</v>
      </c>
      <c r="E65" s="58">
        <f t="shared" si="9"/>
        <v>61108699</v>
      </c>
      <c r="F65" s="58">
        <f t="shared" si="9"/>
        <v>91855198.840000004</v>
      </c>
      <c r="G65" s="58">
        <f t="shared" si="9"/>
        <v>85164600</v>
      </c>
      <c r="H65" s="58">
        <f t="shared" si="9"/>
        <v>89233024</v>
      </c>
      <c r="I65" s="55">
        <f t="shared" si="9"/>
        <v>81753000</v>
      </c>
      <c r="J65" s="55">
        <f t="shared" si="9"/>
        <v>31448905</v>
      </c>
      <c r="K65" s="55">
        <f t="shared" si="9"/>
        <v>31448905</v>
      </c>
      <c r="L65" s="55">
        <f t="shared" si="9"/>
        <v>56349425</v>
      </c>
      <c r="M65" s="55">
        <f t="shared" si="9"/>
        <v>59317233.75</v>
      </c>
      <c r="N65" s="55">
        <f t="shared" si="9"/>
        <v>82989808.75</v>
      </c>
      <c r="O65" s="55">
        <f t="shared" si="9"/>
        <v>82989808.75</v>
      </c>
      <c r="P65" s="55">
        <f t="shared" ref="P65:U65" si="10">P66+P85+P90+P97</f>
        <v>99071000</v>
      </c>
      <c r="Q65" s="55">
        <f t="shared" si="10"/>
        <v>105996798</v>
      </c>
      <c r="R65" s="55" t="e">
        <f t="shared" si="10"/>
        <v>#REF!</v>
      </c>
      <c r="S65" s="55">
        <f t="shared" si="10"/>
        <v>133382279</v>
      </c>
      <c r="T65" s="55" t="e">
        <f t="shared" si="10"/>
        <v>#REF!</v>
      </c>
      <c r="U65" s="55">
        <f t="shared" si="10"/>
        <v>130647300</v>
      </c>
    </row>
    <row r="66" spans="1:21" s="13" customFormat="1" ht="18" customHeight="1">
      <c r="A66" s="15" t="s">
        <v>244</v>
      </c>
      <c r="B66" s="6" t="s">
        <v>631</v>
      </c>
      <c r="C66" s="58">
        <f t="shared" ref="C66:H66" si="11">SUM(C67:C82)</f>
        <v>35965947</v>
      </c>
      <c r="D66" s="58">
        <f t="shared" si="11"/>
        <v>74387005</v>
      </c>
      <c r="E66" s="58">
        <f t="shared" si="11"/>
        <v>60929899</v>
      </c>
      <c r="F66" s="58">
        <f t="shared" si="11"/>
        <v>87496147</v>
      </c>
      <c r="G66" s="59">
        <f t="shared" si="11"/>
        <v>84764600</v>
      </c>
      <c r="H66" s="58">
        <f t="shared" si="11"/>
        <v>89233024</v>
      </c>
      <c r="I66" s="55">
        <f t="shared" ref="I66:U66" si="12">I67+I72+I76+I82</f>
        <v>75428000</v>
      </c>
      <c r="J66" s="55">
        <f t="shared" si="12"/>
        <v>31249425</v>
      </c>
      <c r="K66" s="55">
        <f t="shared" si="12"/>
        <v>31249425</v>
      </c>
      <c r="L66" s="55">
        <f t="shared" si="12"/>
        <v>31249425</v>
      </c>
      <c r="M66" s="55">
        <f t="shared" si="12"/>
        <v>56321751</v>
      </c>
      <c r="N66" s="55">
        <f t="shared" si="12"/>
        <v>79994326</v>
      </c>
      <c r="O66" s="55">
        <f t="shared" si="12"/>
        <v>79994326</v>
      </c>
      <c r="P66" s="55">
        <f t="shared" si="12"/>
        <v>93971000</v>
      </c>
      <c r="Q66" s="55">
        <f t="shared" si="12"/>
        <v>99182500</v>
      </c>
      <c r="R66" s="55" t="e">
        <f t="shared" si="12"/>
        <v>#REF!</v>
      </c>
      <c r="S66" s="55">
        <f t="shared" si="12"/>
        <v>127188279</v>
      </c>
      <c r="T66" s="55" t="e">
        <f t="shared" si="12"/>
        <v>#REF!</v>
      </c>
      <c r="U66" s="55">
        <f t="shared" si="12"/>
        <v>124923300</v>
      </c>
    </row>
    <row r="67" spans="1:21" ht="18" customHeight="1">
      <c r="A67" s="15" t="s">
        <v>245</v>
      </c>
      <c r="B67" s="5" t="s">
        <v>632</v>
      </c>
      <c r="C67" s="58">
        <f>3843950+348997</f>
        <v>4192947</v>
      </c>
      <c r="D67" s="58">
        <f>2500000+322005+25686000+5000000</f>
        <v>33508005</v>
      </c>
      <c r="E67" s="58">
        <f>2500000+1290299+8928600</f>
        <v>12718899</v>
      </c>
      <c r="F67" s="58">
        <f>2500000+972367+21707780+12522000</f>
        <v>37702147</v>
      </c>
      <c r="G67" s="58">
        <f>2500000+1300000+19994000</f>
        <v>23794000</v>
      </c>
      <c r="H67" s="58">
        <f>2499950+19994000</f>
        <v>22493950</v>
      </c>
      <c r="I67" s="55">
        <v>16000000</v>
      </c>
      <c r="J67" s="24">
        <f>833000+3257400+4424600</f>
        <v>8515000</v>
      </c>
      <c r="K67" s="24">
        <f>833000+3257400+4424600</f>
        <v>8515000</v>
      </c>
      <c r="L67" s="24">
        <f>833000+3257400+4424600</f>
        <v>8515000</v>
      </c>
      <c r="M67" s="24">
        <f>1950000+3257400+4424600+3610000</f>
        <v>13242000</v>
      </c>
      <c r="N67" s="24">
        <f t="shared" ref="N67:U67" si="13">SUM(N68:N71)</f>
        <v>7392000</v>
      </c>
      <c r="O67" s="24">
        <f t="shared" si="13"/>
        <v>7392000</v>
      </c>
      <c r="P67" s="24">
        <f>SUM(P68:P70)</f>
        <v>2125000</v>
      </c>
      <c r="Q67" s="24">
        <f>SUM(Q68:Q70)</f>
        <v>2675000</v>
      </c>
      <c r="R67" s="24" t="e">
        <f t="shared" si="13"/>
        <v>#REF!</v>
      </c>
      <c r="S67" s="24">
        <f t="shared" si="13"/>
        <v>3631100</v>
      </c>
      <c r="T67" s="24">
        <f t="shared" si="13"/>
        <v>0</v>
      </c>
      <c r="U67" s="24">
        <f t="shared" si="13"/>
        <v>3431100</v>
      </c>
    </row>
    <row r="68" spans="1:21" s="13" customFormat="1" ht="18" customHeight="1">
      <c r="A68" s="16" t="s">
        <v>299</v>
      </c>
      <c r="B68" s="6" t="s">
        <v>161</v>
      </c>
      <c r="C68" s="58"/>
      <c r="D68" s="58"/>
      <c r="E68" s="58"/>
      <c r="F68" s="58"/>
      <c r="G68" s="59"/>
      <c r="H68" s="58"/>
      <c r="I68" s="55"/>
      <c r="J68" s="55"/>
      <c r="K68" s="55"/>
      <c r="L68" s="55"/>
      <c r="M68" s="55"/>
      <c r="N68" s="60">
        <v>455000</v>
      </c>
      <c r="O68" s="60">
        <v>455000</v>
      </c>
      <c r="P68" s="60">
        <v>175000</v>
      </c>
      <c r="Q68" s="60">
        <v>175000</v>
      </c>
      <c r="R68" s="60" t="e">
        <f>#REF!</f>
        <v>#REF!</v>
      </c>
      <c r="S68" s="60">
        <v>3431100</v>
      </c>
      <c r="T68" s="11"/>
      <c r="U68" s="11">
        <v>3431100</v>
      </c>
    </row>
    <row r="69" spans="1:21" s="13" customFormat="1" ht="18" customHeight="1">
      <c r="A69" s="16" t="s">
        <v>300</v>
      </c>
      <c r="B69" s="6" t="s">
        <v>162</v>
      </c>
      <c r="C69" s="58"/>
      <c r="D69" s="58"/>
      <c r="E69" s="58"/>
      <c r="F69" s="58"/>
      <c r="G69" s="59"/>
      <c r="H69" s="58"/>
      <c r="I69" s="55"/>
      <c r="J69" s="55"/>
      <c r="K69" s="55"/>
      <c r="L69" s="55"/>
      <c r="M69" s="55"/>
      <c r="N69" s="60"/>
      <c r="O69" s="60"/>
      <c r="P69" s="60"/>
      <c r="Q69" s="60"/>
      <c r="R69" s="60"/>
      <c r="S69" s="60">
        <v>200000</v>
      </c>
      <c r="T69" s="11"/>
      <c r="U69" s="11">
        <v>0</v>
      </c>
    </row>
    <row r="70" spans="1:21" s="13" customFormat="1" ht="18" customHeight="1">
      <c r="A70" s="16" t="s">
        <v>305</v>
      </c>
      <c r="B70" s="6" t="s">
        <v>159</v>
      </c>
      <c r="C70" s="58"/>
      <c r="D70" s="58"/>
      <c r="E70" s="58"/>
      <c r="F70" s="58"/>
      <c r="G70" s="59"/>
      <c r="H70" s="58"/>
      <c r="I70" s="55"/>
      <c r="J70" s="55"/>
      <c r="K70" s="55"/>
      <c r="L70" s="55"/>
      <c r="M70" s="55"/>
      <c r="N70" s="60">
        <v>1950000</v>
      </c>
      <c r="O70" s="60">
        <v>1950000</v>
      </c>
      <c r="P70" s="60">
        <v>1950000</v>
      </c>
      <c r="Q70" s="60">
        <v>2500000</v>
      </c>
      <c r="R70" s="60" t="e">
        <f>#REF!</f>
        <v>#REF!</v>
      </c>
      <c r="S70" s="60">
        <v>0</v>
      </c>
      <c r="T70" s="11"/>
      <c r="U70" s="11">
        <v>0</v>
      </c>
    </row>
    <row r="71" spans="1:21" s="13" customFormat="1" ht="18" hidden="1" customHeight="1">
      <c r="A71" s="16" t="s">
        <v>305</v>
      </c>
      <c r="B71" s="6" t="s">
        <v>306</v>
      </c>
      <c r="C71" s="58"/>
      <c r="D71" s="58"/>
      <c r="E71" s="58"/>
      <c r="F71" s="58"/>
      <c r="G71" s="59"/>
      <c r="H71" s="58"/>
      <c r="I71" s="55"/>
      <c r="J71" s="55"/>
      <c r="K71" s="55"/>
      <c r="L71" s="55"/>
      <c r="M71" s="55"/>
      <c r="N71" s="60">
        <v>4987000</v>
      </c>
      <c r="O71" s="60">
        <v>4987000</v>
      </c>
      <c r="P71" s="60">
        <v>5000000</v>
      </c>
      <c r="Q71" s="60"/>
      <c r="R71" s="60">
        <v>0</v>
      </c>
      <c r="S71" s="60"/>
      <c r="T71" s="8"/>
      <c r="U71" s="8"/>
    </row>
    <row r="72" spans="1:21" s="74" customFormat="1" ht="18" customHeight="1">
      <c r="A72" s="15" t="s">
        <v>246</v>
      </c>
      <c r="B72" s="5" t="s">
        <v>633</v>
      </c>
      <c r="C72" s="58">
        <v>1000000</v>
      </c>
      <c r="D72" s="58">
        <v>2000000</v>
      </c>
      <c r="E72" s="58">
        <v>2400000</v>
      </c>
      <c r="F72" s="58">
        <v>2400000</v>
      </c>
      <c r="G72" s="58">
        <f>12156000+13836600</f>
        <v>25992600</v>
      </c>
      <c r="H72" s="58">
        <f>12156000+14118074</f>
        <v>26274074</v>
      </c>
      <c r="I72" s="55">
        <v>12500000</v>
      </c>
      <c r="J72" s="24">
        <f>281425+794000</f>
        <v>1075425</v>
      </c>
      <c r="K72" s="24">
        <f>281425+794000</f>
        <v>1075425</v>
      </c>
      <c r="L72" s="24">
        <f>281425+794000</f>
        <v>1075425</v>
      </c>
      <c r="M72" s="24">
        <f>281425+794000+794000+6441000</f>
        <v>8310425</v>
      </c>
      <c r="N72" s="24">
        <f t="shared" ref="N72:U72" si="14">SUM(N73:N75)</f>
        <v>35316000</v>
      </c>
      <c r="O72" s="24">
        <f t="shared" si="14"/>
        <v>35316000</v>
      </c>
      <c r="P72" s="24">
        <f t="shared" si="14"/>
        <v>37466000</v>
      </c>
      <c r="Q72" s="24">
        <f t="shared" si="14"/>
        <v>40829000</v>
      </c>
      <c r="R72" s="24" t="e">
        <f t="shared" si="14"/>
        <v>#REF!</v>
      </c>
      <c r="S72" s="24">
        <f t="shared" si="14"/>
        <v>29081000</v>
      </c>
      <c r="T72" s="24">
        <f t="shared" si="14"/>
        <v>0</v>
      </c>
      <c r="U72" s="24">
        <f t="shared" si="14"/>
        <v>32421000</v>
      </c>
    </row>
    <row r="73" spans="1:21" s="13" customFormat="1" ht="18" customHeight="1">
      <c r="A73" s="16" t="s">
        <v>301</v>
      </c>
      <c r="B73" s="6" t="s">
        <v>302</v>
      </c>
      <c r="C73" s="58"/>
      <c r="D73" s="58"/>
      <c r="E73" s="58"/>
      <c r="F73" s="58"/>
      <c r="G73" s="59"/>
      <c r="H73" s="58"/>
      <c r="I73" s="55"/>
      <c r="J73" s="55"/>
      <c r="K73" s="55"/>
      <c r="L73" s="55"/>
      <c r="M73" s="55"/>
      <c r="N73" s="60">
        <v>2383000</v>
      </c>
      <c r="O73" s="60">
        <v>2383000</v>
      </c>
      <c r="P73" s="60">
        <v>0</v>
      </c>
      <c r="Q73" s="60"/>
      <c r="R73" s="24" t="e">
        <f>#REF!</f>
        <v>#REF!</v>
      </c>
      <c r="S73" s="24"/>
      <c r="T73" s="8"/>
      <c r="U73" s="8"/>
    </row>
    <row r="74" spans="1:21" s="13" customFormat="1" ht="18" customHeight="1">
      <c r="A74" s="16" t="s">
        <v>303</v>
      </c>
      <c r="B74" s="6" t="s">
        <v>160</v>
      </c>
      <c r="C74" s="58"/>
      <c r="D74" s="58"/>
      <c r="E74" s="58"/>
      <c r="F74" s="58"/>
      <c r="G74" s="59"/>
      <c r="H74" s="58"/>
      <c r="I74" s="55"/>
      <c r="J74" s="55"/>
      <c r="K74" s="55"/>
      <c r="L74" s="55"/>
      <c r="M74" s="55"/>
      <c r="N74" s="60">
        <v>16938000</v>
      </c>
      <c r="O74" s="60">
        <v>16938000</v>
      </c>
      <c r="P74" s="60">
        <v>20560000</v>
      </c>
      <c r="Q74" s="60">
        <v>20560000</v>
      </c>
      <c r="R74" s="11" t="e">
        <f>#REF!</f>
        <v>#REF!</v>
      </c>
      <c r="S74" s="11">
        <v>14160000</v>
      </c>
      <c r="T74" s="60"/>
      <c r="U74" s="11">
        <v>17500000</v>
      </c>
    </row>
    <row r="75" spans="1:21" ht="30">
      <c r="A75" s="44" t="s">
        <v>304</v>
      </c>
      <c r="B75" s="56" t="s">
        <v>328</v>
      </c>
      <c r="C75" s="78"/>
      <c r="D75" s="78"/>
      <c r="E75" s="78"/>
      <c r="F75" s="78"/>
      <c r="G75" s="78"/>
      <c r="H75" s="78"/>
      <c r="I75" s="25"/>
      <c r="J75" s="25"/>
      <c r="K75" s="25"/>
      <c r="L75" s="25"/>
      <c r="M75" s="25"/>
      <c r="N75" s="60">
        <v>15995000</v>
      </c>
      <c r="O75" s="60">
        <v>15995000</v>
      </c>
      <c r="P75" s="60">
        <v>16906000</v>
      </c>
      <c r="Q75" s="60">
        <v>20269000</v>
      </c>
      <c r="R75" s="11" t="e">
        <f>#REF!</f>
        <v>#REF!</v>
      </c>
      <c r="S75" s="11">
        <v>14921000</v>
      </c>
      <c r="T75" s="11"/>
      <c r="U75" s="11">
        <v>14921000</v>
      </c>
    </row>
    <row r="76" spans="1:21" s="74" customFormat="1" ht="21.75" customHeight="1">
      <c r="A76" s="15" t="s">
        <v>247</v>
      </c>
      <c r="B76" s="5" t="s">
        <v>164</v>
      </c>
      <c r="C76" s="58">
        <v>4469000</v>
      </c>
      <c r="D76" s="58">
        <v>6370000</v>
      </c>
      <c r="E76" s="58">
        <v>13302000</v>
      </c>
      <c r="F76" s="58">
        <v>12416000</v>
      </c>
      <c r="G76" s="58">
        <v>0</v>
      </c>
      <c r="H76" s="58">
        <v>5487000</v>
      </c>
      <c r="I76" s="55">
        <f t="shared" ref="I76:R76" si="15">SUM(I77:I78)</f>
        <v>11950000</v>
      </c>
      <c r="J76" s="55">
        <f t="shared" si="15"/>
        <v>10000000</v>
      </c>
      <c r="K76" s="55">
        <f t="shared" si="15"/>
        <v>10000000</v>
      </c>
      <c r="L76" s="55">
        <f t="shared" si="15"/>
        <v>10000000</v>
      </c>
      <c r="M76" s="55">
        <f t="shared" si="15"/>
        <v>11580326</v>
      </c>
      <c r="N76" s="55">
        <f t="shared" si="15"/>
        <v>14097326</v>
      </c>
      <c r="O76" s="55">
        <f t="shared" si="15"/>
        <v>14097326</v>
      </c>
      <c r="P76" s="55">
        <f t="shared" si="15"/>
        <v>11950000</v>
      </c>
      <c r="Q76" s="55">
        <f t="shared" si="15"/>
        <v>13248500</v>
      </c>
      <c r="R76" s="55" t="e">
        <f t="shared" si="15"/>
        <v>#REF!</v>
      </c>
      <c r="S76" s="55">
        <f>SUM(S77:S81)</f>
        <v>56866179</v>
      </c>
      <c r="T76" s="55" t="e">
        <f>SUM(T77:T81)</f>
        <v>#REF!</v>
      </c>
      <c r="U76" s="55">
        <f>SUM(U77:U81)</f>
        <v>51461200</v>
      </c>
    </row>
    <row r="77" spans="1:21" ht="18">
      <c r="A77" s="21" t="s">
        <v>278</v>
      </c>
      <c r="B77" s="56" t="s">
        <v>315</v>
      </c>
      <c r="C77" s="59"/>
      <c r="D77" s="59"/>
      <c r="E77" s="59"/>
      <c r="F77" s="59"/>
      <c r="G77" s="59"/>
      <c r="H77" s="59"/>
      <c r="I77" s="60">
        <v>10000000</v>
      </c>
      <c r="J77" s="60">
        <v>10000000</v>
      </c>
      <c r="K77" s="60">
        <v>10000000</v>
      </c>
      <c r="L77" s="60">
        <v>10000000</v>
      </c>
      <c r="M77" s="60">
        <v>8217000</v>
      </c>
      <c r="N77" s="60">
        <v>10734000</v>
      </c>
      <c r="O77" s="60">
        <v>10734000</v>
      </c>
      <c r="P77" s="60">
        <v>10000000</v>
      </c>
      <c r="Q77" s="60">
        <v>11161000</v>
      </c>
      <c r="R77" s="60" t="e">
        <f>#REF!</f>
        <v>#REF!</v>
      </c>
      <c r="S77" s="60">
        <v>22273439</v>
      </c>
      <c r="T77" s="60" t="e">
        <f>#REF!</f>
        <v>#REF!</v>
      </c>
      <c r="U77" s="11">
        <v>18000000</v>
      </c>
    </row>
    <row r="78" spans="1:21" ht="18">
      <c r="A78" s="21" t="s">
        <v>279</v>
      </c>
      <c r="B78" s="57" t="s">
        <v>326</v>
      </c>
      <c r="C78" s="78"/>
      <c r="D78" s="78"/>
      <c r="E78" s="78"/>
      <c r="F78" s="78"/>
      <c r="G78" s="78"/>
      <c r="H78" s="78"/>
      <c r="I78" s="60">
        <v>1950000</v>
      </c>
      <c r="J78" s="25"/>
      <c r="K78" s="25"/>
      <c r="L78" s="25"/>
      <c r="M78" s="60">
        <v>3363326</v>
      </c>
      <c r="N78" s="60">
        <v>3363326</v>
      </c>
      <c r="O78" s="60">
        <v>3363326</v>
      </c>
      <c r="P78" s="60">
        <v>1950000</v>
      </c>
      <c r="Q78" s="60">
        <v>2087500</v>
      </c>
      <c r="R78" s="60" t="e">
        <f>#REF!</f>
        <v>#REF!</v>
      </c>
      <c r="S78" s="60">
        <v>3500000</v>
      </c>
      <c r="T78" s="60"/>
      <c r="U78" s="11">
        <v>2800000</v>
      </c>
    </row>
    <row r="79" spans="1:21" ht="18" hidden="1" customHeight="1">
      <c r="A79" s="21" t="s">
        <v>280</v>
      </c>
      <c r="B79" s="5" t="s">
        <v>634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60">
        <v>0</v>
      </c>
      <c r="J79" s="60">
        <v>0</v>
      </c>
      <c r="K79" s="60"/>
      <c r="L79" s="60"/>
      <c r="M79" s="32"/>
      <c r="N79" s="32"/>
      <c r="O79" s="32"/>
      <c r="P79" s="32"/>
      <c r="Q79" s="32"/>
      <c r="R79" s="32"/>
      <c r="S79" s="32"/>
      <c r="T79" s="78"/>
      <c r="U79" s="78"/>
    </row>
    <row r="80" spans="1:21" ht="36" customHeight="1">
      <c r="A80" s="21" t="s">
        <v>281</v>
      </c>
      <c r="B80" s="6" t="s">
        <v>163</v>
      </c>
      <c r="C80" s="59"/>
      <c r="D80" s="59"/>
      <c r="E80" s="59"/>
      <c r="F80" s="59"/>
      <c r="G80" s="59"/>
      <c r="H80" s="59"/>
      <c r="I80" s="60"/>
      <c r="J80" s="60"/>
      <c r="K80" s="60"/>
      <c r="L80" s="60"/>
      <c r="M80" s="32"/>
      <c r="N80" s="32"/>
      <c r="O80" s="32"/>
      <c r="P80" s="32"/>
      <c r="Q80" s="32"/>
      <c r="R80" s="32"/>
      <c r="S80" s="60">
        <v>30661200</v>
      </c>
      <c r="T80" s="78"/>
      <c r="U80" s="11">
        <v>30661200</v>
      </c>
    </row>
    <row r="81" spans="1:21" ht="18">
      <c r="A81" s="21" t="s">
        <v>293</v>
      </c>
      <c r="B81" s="6" t="s">
        <v>165</v>
      </c>
      <c r="C81" s="59"/>
      <c r="D81" s="59"/>
      <c r="E81" s="59"/>
      <c r="F81" s="59"/>
      <c r="G81" s="59"/>
      <c r="H81" s="59"/>
      <c r="I81" s="60"/>
      <c r="J81" s="60"/>
      <c r="K81" s="60"/>
      <c r="L81" s="60"/>
      <c r="M81" s="32"/>
      <c r="N81" s="32"/>
      <c r="O81" s="32"/>
      <c r="P81" s="32"/>
      <c r="Q81" s="32"/>
      <c r="R81" s="32"/>
      <c r="S81" s="60">
        <v>431540</v>
      </c>
      <c r="T81" s="78"/>
      <c r="U81" s="78"/>
    </row>
    <row r="82" spans="1:21" ht="18" customHeight="1">
      <c r="A82" s="15" t="s">
        <v>319</v>
      </c>
      <c r="B82" s="5" t="s">
        <v>615</v>
      </c>
      <c r="C82" s="58">
        <v>26304000</v>
      </c>
      <c r="D82" s="58">
        <v>32509000</v>
      </c>
      <c r="E82" s="58">
        <v>32509000</v>
      </c>
      <c r="F82" s="58">
        <v>34978000</v>
      </c>
      <c r="G82" s="58">
        <v>34978000</v>
      </c>
      <c r="H82" s="58">
        <v>34978000</v>
      </c>
      <c r="I82" s="24">
        <f t="shared" ref="I82:U82" si="16">SUM(I83:I84)</f>
        <v>34978000</v>
      </c>
      <c r="J82" s="24">
        <f t="shared" si="16"/>
        <v>11659000</v>
      </c>
      <c r="K82" s="24">
        <f t="shared" si="16"/>
        <v>11659000</v>
      </c>
      <c r="L82" s="24">
        <f t="shared" si="16"/>
        <v>11659000</v>
      </c>
      <c r="M82" s="24">
        <f t="shared" si="16"/>
        <v>23189000</v>
      </c>
      <c r="N82" s="24">
        <f t="shared" si="16"/>
        <v>23189000</v>
      </c>
      <c r="O82" s="24">
        <f t="shared" si="16"/>
        <v>23189000</v>
      </c>
      <c r="P82" s="24">
        <f t="shared" si="16"/>
        <v>42430000</v>
      </c>
      <c r="Q82" s="24">
        <f t="shared" si="16"/>
        <v>42430000</v>
      </c>
      <c r="R82" s="24" t="e">
        <f t="shared" si="16"/>
        <v>#REF!</v>
      </c>
      <c r="S82" s="24">
        <f t="shared" si="16"/>
        <v>37610000</v>
      </c>
      <c r="T82" s="24">
        <f t="shared" si="16"/>
        <v>0</v>
      </c>
      <c r="U82" s="24">
        <f t="shared" si="16"/>
        <v>37610000</v>
      </c>
    </row>
    <row r="83" spans="1:21" ht="18" customHeight="1">
      <c r="A83" s="16" t="s">
        <v>320</v>
      </c>
      <c r="B83" s="6" t="s">
        <v>317</v>
      </c>
      <c r="C83" s="59"/>
      <c r="D83" s="59"/>
      <c r="E83" s="59"/>
      <c r="F83" s="59"/>
      <c r="G83" s="59"/>
      <c r="H83" s="59"/>
      <c r="I83" s="60">
        <v>25876000</v>
      </c>
      <c r="J83" s="11">
        <v>8625000</v>
      </c>
      <c r="K83" s="11">
        <v>8625000</v>
      </c>
      <c r="L83" s="11">
        <v>8625000</v>
      </c>
      <c r="M83" s="11">
        <f>8625000+766333+4695667</f>
        <v>14087000</v>
      </c>
      <c r="N83" s="11">
        <v>14087000</v>
      </c>
      <c r="O83" s="11">
        <v>14087000</v>
      </c>
      <c r="P83" s="60">
        <v>27984000</v>
      </c>
      <c r="Q83" s="60">
        <v>27984000</v>
      </c>
      <c r="R83" s="11" t="e">
        <f>#REF!</f>
        <v>#REF!</v>
      </c>
      <c r="S83" s="11">
        <v>23840000</v>
      </c>
      <c r="T83" s="11"/>
      <c r="U83" s="11">
        <v>23840000</v>
      </c>
    </row>
    <row r="84" spans="1:21" ht="18" customHeight="1">
      <c r="A84" s="16" t="s">
        <v>321</v>
      </c>
      <c r="B84" s="6" t="s">
        <v>316</v>
      </c>
      <c r="C84" s="59"/>
      <c r="D84" s="59"/>
      <c r="E84" s="59"/>
      <c r="F84" s="59"/>
      <c r="G84" s="59"/>
      <c r="H84" s="59"/>
      <c r="I84" s="60">
        <v>9102000</v>
      </c>
      <c r="J84" s="11">
        <v>3034000</v>
      </c>
      <c r="K84" s="11">
        <v>3034000</v>
      </c>
      <c r="L84" s="11">
        <v>3034000</v>
      </c>
      <c r="M84" s="11">
        <f>3034000+3034000+3034000</f>
        <v>9102000</v>
      </c>
      <c r="N84" s="11">
        <v>9102000</v>
      </c>
      <c r="O84" s="11">
        <v>9102000</v>
      </c>
      <c r="P84" s="60">
        <v>14446000</v>
      </c>
      <c r="Q84" s="60">
        <v>14446000</v>
      </c>
      <c r="R84" s="11" t="e">
        <f>#REF!</f>
        <v>#REF!</v>
      </c>
      <c r="S84" s="11">
        <v>13770000</v>
      </c>
      <c r="T84" s="11"/>
      <c r="U84" s="11">
        <v>13770000</v>
      </c>
    </row>
    <row r="85" spans="1:21" s="66" customFormat="1" ht="18" customHeight="1">
      <c r="A85" s="15" t="s">
        <v>248</v>
      </c>
      <c r="B85" s="5" t="s">
        <v>635</v>
      </c>
      <c r="C85" s="58">
        <f t="shared" ref="C85:U85" si="17">SUM(C86:C89)</f>
        <v>1428350</v>
      </c>
      <c r="D85" s="58">
        <f t="shared" si="17"/>
        <v>534843</v>
      </c>
      <c r="E85" s="58">
        <f t="shared" si="17"/>
        <v>178800</v>
      </c>
      <c r="F85" s="58">
        <f t="shared" si="17"/>
        <v>206800</v>
      </c>
      <c r="G85" s="58">
        <f t="shared" si="17"/>
        <v>200000</v>
      </c>
      <c r="H85" s="58">
        <f t="shared" si="17"/>
        <v>0</v>
      </c>
      <c r="I85" s="55">
        <f t="shared" si="17"/>
        <v>200000</v>
      </c>
      <c r="J85" s="55">
        <f t="shared" si="17"/>
        <v>0</v>
      </c>
      <c r="K85" s="55">
        <f t="shared" si="17"/>
        <v>0</v>
      </c>
      <c r="L85" s="55">
        <f t="shared" si="17"/>
        <v>100000</v>
      </c>
      <c r="M85" s="55">
        <f t="shared" si="17"/>
        <v>200000</v>
      </c>
      <c r="N85" s="55">
        <f t="shared" si="17"/>
        <v>200000</v>
      </c>
      <c r="O85" s="55">
        <f t="shared" si="17"/>
        <v>200000</v>
      </c>
      <c r="P85" s="55">
        <f t="shared" si="17"/>
        <v>100000</v>
      </c>
      <c r="Q85" s="55">
        <v>0</v>
      </c>
      <c r="R85" s="55" t="e">
        <f t="shared" si="17"/>
        <v>#REF!</v>
      </c>
      <c r="S85" s="55">
        <f t="shared" si="17"/>
        <v>570000</v>
      </c>
      <c r="T85" s="55">
        <f t="shared" si="17"/>
        <v>0</v>
      </c>
      <c r="U85" s="55">
        <f t="shared" si="17"/>
        <v>100000</v>
      </c>
    </row>
    <row r="86" spans="1:21" ht="18" customHeight="1">
      <c r="A86" s="16" t="s">
        <v>249</v>
      </c>
      <c r="B86" s="6" t="s">
        <v>632</v>
      </c>
      <c r="C86" s="59">
        <v>1428350</v>
      </c>
      <c r="D86" s="59"/>
      <c r="E86" s="59"/>
      <c r="F86" s="59"/>
      <c r="G86" s="59"/>
      <c r="H86" s="59"/>
      <c r="I86" s="60"/>
      <c r="J86" s="60"/>
      <c r="K86" s="60"/>
      <c r="L86" s="25"/>
      <c r="M86" s="32"/>
      <c r="N86" s="32"/>
      <c r="O86" s="32"/>
      <c r="P86" s="32"/>
      <c r="Q86" s="32"/>
      <c r="R86" s="11">
        <v>0</v>
      </c>
      <c r="S86" s="11">
        <v>470000</v>
      </c>
      <c r="T86" s="78"/>
      <c r="U86" s="78"/>
    </row>
    <row r="87" spans="1:21" ht="18" customHeight="1">
      <c r="A87" s="16" t="s">
        <v>250</v>
      </c>
      <c r="B87" s="6" t="s">
        <v>308</v>
      </c>
      <c r="C87" s="59"/>
      <c r="D87" s="59">
        <v>534843</v>
      </c>
      <c r="E87" s="59">
        <v>178800</v>
      </c>
      <c r="F87" s="59">
        <v>206800</v>
      </c>
      <c r="G87" s="59">
        <v>200000</v>
      </c>
      <c r="H87" s="59"/>
      <c r="I87" s="60">
        <v>200000</v>
      </c>
      <c r="J87" s="60"/>
      <c r="K87" s="60"/>
      <c r="L87" s="60">
        <v>100000</v>
      </c>
      <c r="M87" s="60">
        <v>200000</v>
      </c>
      <c r="N87" s="60">
        <v>200000</v>
      </c>
      <c r="O87" s="60">
        <v>200000</v>
      </c>
      <c r="P87" s="60">
        <v>100000</v>
      </c>
      <c r="Q87" s="60"/>
      <c r="R87" s="60" t="e">
        <f>#REF!</f>
        <v>#REF!</v>
      </c>
      <c r="S87" s="60">
        <v>100000</v>
      </c>
      <c r="T87" s="78"/>
      <c r="U87" s="11">
        <v>100000</v>
      </c>
    </row>
    <row r="88" spans="1:21" ht="18" customHeight="1">
      <c r="A88" s="16" t="s">
        <v>251</v>
      </c>
      <c r="B88" s="6" t="s">
        <v>413</v>
      </c>
      <c r="C88" s="59"/>
      <c r="D88" s="59"/>
      <c r="E88" s="59"/>
      <c r="F88" s="59"/>
      <c r="G88" s="59">
        <v>0</v>
      </c>
      <c r="H88" s="59">
        <v>0</v>
      </c>
      <c r="I88" s="60">
        <v>0</v>
      </c>
      <c r="J88" s="60">
        <v>0</v>
      </c>
      <c r="K88" s="60"/>
      <c r="L88" s="60"/>
      <c r="M88" s="32"/>
      <c r="N88" s="32"/>
      <c r="O88" s="32"/>
      <c r="P88" s="32"/>
      <c r="Q88" s="32"/>
      <c r="R88" s="32"/>
      <c r="S88" s="32"/>
      <c r="T88" s="78"/>
      <c r="U88" s="78"/>
    </row>
    <row r="89" spans="1:21" ht="18" customHeight="1">
      <c r="A89" s="16" t="s">
        <v>252</v>
      </c>
      <c r="B89" s="6" t="s">
        <v>634</v>
      </c>
      <c r="C89" s="59"/>
      <c r="D89" s="59"/>
      <c r="E89" s="59"/>
      <c r="F89" s="59"/>
      <c r="G89" s="59">
        <v>0</v>
      </c>
      <c r="H89" s="59">
        <v>0</v>
      </c>
      <c r="I89" s="60">
        <v>0</v>
      </c>
      <c r="J89" s="60">
        <v>0</v>
      </c>
      <c r="K89" s="60"/>
      <c r="L89" s="60"/>
      <c r="M89" s="34"/>
      <c r="N89" s="34"/>
      <c r="O89" s="34"/>
      <c r="P89" s="60">
        <v>0</v>
      </c>
      <c r="Q89" s="60"/>
      <c r="R89" s="34"/>
      <c r="S89" s="34"/>
      <c r="T89" s="78"/>
      <c r="U89" s="78"/>
    </row>
    <row r="90" spans="1:21" s="66" customFormat="1" ht="18" customHeight="1">
      <c r="A90" s="16" t="s">
        <v>384</v>
      </c>
      <c r="B90" s="5" t="s">
        <v>414</v>
      </c>
      <c r="C90" s="59"/>
      <c r="D90" s="59"/>
      <c r="E90" s="59"/>
      <c r="F90" s="59"/>
      <c r="G90" s="59">
        <v>0</v>
      </c>
      <c r="H90" s="59">
        <v>0</v>
      </c>
      <c r="I90" s="60">
        <v>0</v>
      </c>
      <c r="J90" s="60">
        <v>0</v>
      </c>
      <c r="K90" s="60"/>
      <c r="L90" s="60"/>
      <c r="M90" s="55">
        <v>359850</v>
      </c>
      <c r="N90" s="55">
        <v>359850</v>
      </c>
      <c r="O90" s="55">
        <v>359850</v>
      </c>
      <c r="P90" s="55">
        <v>0</v>
      </c>
      <c r="Q90" s="55">
        <f>SUM(Q91:Q96)</f>
        <v>1417000</v>
      </c>
      <c r="R90" s="55">
        <f>SUM(R91:R96)</f>
        <v>0</v>
      </c>
      <c r="S90" s="55">
        <f>SUM(S91:S96)</f>
        <v>624000</v>
      </c>
      <c r="T90" s="55">
        <f>SUM(T91:T96)</f>
        <v>0</v>
      </c>
      <c r="U90" s="55">
        <f>SUM(U91:U96)</f>
        <v>624000</v>
      </c>
    </row>
    <row r="91" spans="1:21" ht="18" customHeight="1">
      <c r="A91" s="16" t="s">
        <v>385</v>
      </c>
      <c r="B91" s="6" t="s">
        <v>636</v>
      </c>
      <c r="C91" s="59"/>
      <c r="D91" s="59"/>
      <c r="E91" s="59"/>
      <c r="F91" s="59"/>
      <c r="G91" s="59">
        <v>0</v>
      </c>
      <c r="H91" s="59">
        <v>0</v>
      </c>
      <c r="I91" s="60">
        <v>0</v>
      </c>
      <c r="J91" s="60">
        <v>0</v>
      </c>
      <c r="K91" s="60"/>
      <c r="L91" s="60"/>
      <c r="M91" s="60">
        <v>359850</v>
      </c>
      <c r="N91" s="60">
        <v>359850</v>
      </c>
      <c r="O91" s="60">
        <v>359850</v>
      </c>
      <c r="P91" s="60">
        <v>0</v>
      </c>
      <c r="Q91" s="60"/>
      <c r="R91" s="60"/>
      <c r="S91" s="60"/>
      <c r="T91" s="78"/>
      <c r="U91" s="78"/>
    </row>
    <row r="92" spans="1:21" ht="18" customHeight="1">
      <c r="A92" s="16" t="s">
        <v>386</v>
      </c>
      <c r="B92" s="6" t="s">
        <v>637</v>
      </c>
      <c r="C92" s="59"/>
      <c r="D92" s="59"/>
      <c r="E92" s="59"/>
      <c r="F92" s="59"/>
      <c r="G92" s="59">
        <v>0</v>
      </c>
      <c r="H92" s="59">
        <v>0</v>
      </c>
      <c r="I92" s="60">
        <v>0</v>
      </c>
      <c r="J92" s="60">
        <v>0</v>
      </c>
      <c r="K92" s="60"/>
      <c r="L92" s="60"/>
      <c r="M92" s="34"/>
      <c r="N92" s="34"/>
      <c r="O92" s="34"/>
      <c r="P92" s="34"/>
      <c r="Q92" s="34"/>
      <c r="R92" s="34"/>
      <c r="S92" s="34"/>
      <c r="T92" s="78"/>
      <c r="U92" s="78"/>
    </row>
    <row r="93" spans="1:21" ht="18" customHeight="1">
      <c r="A93" s="16" t="s">
        <v>387</v>
      </c>
      <c r="B93" s="6" t="s">
        <v>638</v>
      </c>
      <c r="C93" s="59"/>
      <c r="D93" s="59"/>
      <c r="E93" s="59"/>
      <c r="F93" s="59"/>
      <c r="G93" s="59">
        <v>0</v>
      </c>
      <c r="H93" s="59">
        <v>0</v>
      </c>
      <c r="I93" s="60">
        <v>0</v>
      </c>
      <c r="J93" s="60">
        <v>0</v>
      </c>
      <c r="K93" s="60"/>
      <c r="L93" s="60"/>
      <c r="M93" s="34"/>
      <c r="N93" s="34"/>
      <c r="O93" s="34"/>
      <c r="P93" s="34"/>
      <c r="Q93" s="34"/>
      <c r="R93" s="34"/>
      <c r="S93" s="34"/>
      <c r="T93" s="78"/>
      <c r="U93" s="78"/>
    </row>
    <row r="94" spans="1:21" ht="18" customHeight="1">
      <c r="A94" s="16" t="s">
        <v>388</v>
      </c>
      <c r="B94" s="6" t="s">
        <v>639</v>
      </c>
      <c r="C94" s="59"/>
      <c r="D94" s="59"/>
      <c r="E94" s="59"/>
      <c r="F94" s="59"/>
      <c r="G94" s="59">
        <v>0</v>
      </c>
      <c r="H94" s="59">
        <v>0</v>
      </c>
      <c r="I94" s="60">
        <v>0</v>
      </c>
      <c r="J94" s="60">
        <v>0</v>
      </c>
      <c r="K94" s="60"/>
      <c r="L94" s="60"/>
      <c r="M94" s="34"/>
      <c r="N94" s="34"/>
      <c r="O94" s="34"/>
      <c r="P94" s="34"/>
      <c r="Q94" s="34"/>
      <c r="R94" s="34"/>
      <c r="S94" s="34"/>
      <c r="T94" s="78"/>
      <c r="U94" s="78"/>
    </row>
    <row r="95" spans="1:21" ht="18" customHeight="1">
      <c r="A95" s="16" t="s">
        <v>389</v>
      </c>
      <c r="B95" s="6" t="s">
        <v>307</v>
      </c>
      <c r="C95" s="59"/>
      <c r="D95" s="59"/>
      <c r="E95" s="59"/>
      <c r="F95" s="59"/>
      <c r="G95" s="59"/>
      <c r="H95" s="59"/>
      <c r="I95" s="60"/>
      <c r="J95" s="60"/>
      <c r="K95" s="60"/>
      <c r="L95" s="60"/>
      <c r="M95" s="34"/>
      <c r="N95" s="34"/>
      <c r="O95" s="34"/>
      <c r="P95" s="34"/>
      <c r="Q95" s="60">
        <v>43000</v>
      </c>
      <c r="R95" s="34"/>
      <c r="S95" s="34"/>
      <c r="T95" s="60"/>
      <c r="U95" s="78"/>
    </row>
    <row r="96" spans="1:21" ht="18" customHeight="1">
      <c r="A96" s="16" t="s">
        <v>390</v>
      </c>
      <c r="B96" s="6" t="s">
        <v>382</v>
      </c>
      <c r="C96" s="59"/>
      <c r="D96" s="59"/>
      <c r="E96" s="59"/>
      <c r="F96" s="59"/>
      <c r="G96" s="59"/>
      <c r="H96" s="59"/>
      <c r="I96" s="60"/>
      <c r="J96" s="60"/>
      <c r="K96" s="60"/>
      <c r="L96" s="60"/>
      <c r="M96" s="34"/>
      <c r="N96" s="34"/>
      <c r="O96" s="34"/>
      <c r="P96" s="34"/>
      <c r="Q96" s="60">
        <v>1374000</v>
      </c>
      <c r="R96" s="34"/>
      <c r="S96" s="60">
        <v>624000</v>
      </c>
      <c r="T96" s="60"/>
      <c r="U96" s="11">
        <v>624000</v>
      </c>
    </row>
    <row r="97" spans="1:21" s="74" customFormat="1" ht="18" customHeight="1">
      <c r="A97" s="15" t="s">
        <v>253</v>
      </c>
      <c r="B97" s="5" t="s">
        <v>398</v>
      </c>
      <c r="C97" s="58">
        <f t="shared" ref="C97:U97" si="18">SUM(C98:C99)</f>
        <v>0</v>
      </c>
      <c r="D97" s="58">
        <f t="shared" si="18"/>
        <v>0</v>
      </c>
      <c r="E97" s="58">
        <f t="shared" si="18"/>
        <v>0</v>
      </c>
      <c r="F97" s="58">
        <f t="shared" si="18"/>
        <v>0</v>
      </c>
      <c r="G97" s="58">
        <f t="shared" si="18"/>
        <v>200000</v>
      </c>
      <c r="H97" s="58">
        <f t="shared" si="18"/>
        <v>0</v>
      </c>
      <c r="I97" s="55">
        <f t="shared" si="18"/>
        <v>6125000</v>
      </c>
      <c r="J97" s="55">
        <f t="shared" si="18"/>
        <v>199480</v>
      </c>
      <c r="K97" s="55">
        <f t="shared" si="18"/>
        <v>199480</v>
      </c>
      <c r="L97" s="55">
        <f t="shared" si="18"/>
        <v>5000000</v>
      </c>
      <c r="M97" s="55">
        <f t="shared" si="18"/>
        <v>2435632.75</v>
      </c>
      <c r="N97" s="55">
        <f t="shared" si="18"/>
        <v>2435632.75</v>
      </c>
      <c r="O97" s="55">
        <f t="shared" si="18"/>
        <v>2435632.75</v>
      </c>
      <c r="P97" s="55">
        <f t="shared" si="18"/>
        <v>5000000</v>
      </c>
      <c r="Q97" s="55">
        <f t="shared" si="18"/>
        <v>5397298</v>
      </c>
      <c r="R97" s="55" t="e">
        <f t="shared" si="18"/>
        <v>#REF!</v>
      </c>
      <c r="S97" s="55">
        <f t="shared" si="18"/>
        <v>5000000</v>
      </c>
      <c r="T97" s="55">
        <f t="shared" si="18"/>
        <v>0</v>
      </c>
      <c r="U97" s="55">
        <f t="shared" si="18"/>
        <v>5000000</v>
      </c>
    </row>
    <row r="98" spans="1:21" ht="18" customHeight="1">
      <c r="A98" s="16" t="s">
        <v>254</v>
      </c>
      <c r="B98" s="6" t="s">
        <v>640</v>
      </c>
      <c r="C98" s="59"/>
      <c r="D98" s="59"/>
      <c r="E98" s="59"/>
      <c r="F98" s="59"/>
      <c r="G98" s="59">
        <v>0</v>
      </c>
      <c r="H98" s="59">
        <v>0</v>
      </c>
      <c r="I98" s="60">
        <v>0</v>
      </c>
      <c r="J98" s="60">
        <v>0</v>
      </c>
      <c r="K98" s="60"/>
      <c r="L98" s="60"/>
      <c r="M98" s="11">
        <v>0</v>
      </c>
      <c r="N98" s="11"/>
      <c r="O98" s="11"/>
      <c r="P98" s="11"/>
      <c r="Q98" s="11"/>
      <c r="R98" s="11"/>
      <c r="S98" s="11"/>
      <c r="T98" s="78"/>
      <c r="U98" s="78"/>
    </row>
    <row r="99" spans="1:21" ht="18" customHeight="1">
      <c r="A99" s="16" t="s">
        <v>255</v>
      </c>
      <c r="B99" s="102" t="s">
        <v>283</v>
      </c>
      <c r="C99" s="59"/>
      <c r="D99" s="59"/>
      <c r="E99" s="59"/>
      <c r="F99" s="59"/>
      <c r="G99" s="59">
        <v>200000</v>
      </c>
      <c r="H99" s="59">
        <v>0</v>
      </c>
      <c r="I99" s="60">
        <v>6125000</v>
      </c>
      <c r="J99" s="11">
        <v>199480</v>
      </c>
      <c r="K99" s="11">
        <v>199480</v>
      </c>
      <c r="L99" s="60">
        <v>5000000</v>
      </c>
      <c r="M99" s="11">
        <v>2435632.75</v>
      </c>
      <c r="N99" s="11">
        <v>2435632.75</v>
      </c>
      <c r="O99" s="11">
        <v>2435632.75</v>
      </c>
      <c r="P99" s="11">
        <v>5000000</v>
      </c>
      <c r="Q99" s="11">
        <v>5397298</v>
      </c>
      <c r="R99" s="11" t="e">
        <f>#REF!</f>
        <v>#REF!</v>
      </c>
      <c r="S99" s="11">
        <v>5000000</v>
      </c>
      <c r="T99" s="60"/>
      <c r="U99" s="11">
        <v>5000000</v>
      </c>
    </row>
    <row r="100" spans="1:21" ht="18" customHeight="1">
      <c r="A100" s="15" t="s">
        <v>256</v>
      </c>
      <c r="B100" s="5" t="s">
        <v>641</v>
      </c>
      <c r="C100" s="58">
        <f>SUM(C101:C103)</f>
        <v>0</v>
      </c>
      <c r="D100" s="58">
        <f>SUM(D101:D103)</f>
        <v>221113.62</v>
      </c>
      <c r="E100" s="58">
        <f>SUM(E101:E103)</f>
        <v>0</v>
      </c>
      <c r="F100" s="58">
        <f>SUM(F101:F103)</f>
        <v>4152251.84</v>
      </c>
      <c r="G100" s="58">
        <v>0</v>
      </c>
      <c r="H100" s="58">
        <f t="shared" ref="H100:U100" si="19">SUM(H101:H103)</f>
        <v>0</v>
      </c>
      <c r="I100" s="55">
        <f t="shared" si="19"/>
        <v>0</v>
      </c>
      <c r="J100" s="55">
        <f t="shared" si="19"/>
        <v>0</v>
      </c>
      <c r="K100" s="55">
        <f t="shared" si="19"/>
        <v>0</v>
      </c>
      <c r="L100" s="55">
        <f t="shared" si="19"/>
        <v>20000000</v>
      </c>
      <c r="M100" s="55">
        <f t="shared" si="19"/>
        <v>0</v>
      </c>
      <c r="N100" s="55">
        <f t="shared" si="19"/>
        <v>0</v>
      </c>
      <c r="O100" s="55">
        <f t="shared" si="19"/>
        <v>0</v>
      </c>
      <c r="P100" s="24">
        <f t="shared" si="19"/>
        <v>21336000</v>
      </c>
      <c r="Q100" s="24">
        <f t="shared" si="19"/>
        <v>0</v>
      </c>
      <c r="R100" s="55" t="e">
        <f t="shared" si="19"/>
        <v>#REF!</v>
      </c>
      <c r="S100" s="55">
        <f t="shared" si="19"/>
        <v>23520000</v>
      </c>
      <c r="T100" s="55" t="e">
        <f t="shared" si="19"/>
        <v>#REF!</v>
      </c>
      <c r="U100" s="55">
        <f t="shared" si="19"/>
        <v>3820000</v>
      </c>
    </row>
    <row r="101" spans="1:21" ht="18" customHeight="1">
      <c r="A101" s="16" t="s">
        <v>257</v>
      </c>
      <c r="B101" s="6" t="s">
        <v>324</v>
      </c>
      <c r="C101" s="59"/>
      <c r="D101" s="59"/>
      <c r="E101" s="59"/>
      <c r="F101" s="59"/>
      <c r="G101" s="59">
        <v>0</v>
      </c>
      <c r="H101" s="59">
        <v>0</v>
      </c>
      <c r="I101" s="60">
        <v>0</v>
      </c>
      <c r="J101" s="60">
        <v>0</v>
      </c>
      <c r="K101" s="60"/>
      <c r="L101" s="60">
        <v>20000000</v>
      </c>
      <c r="M101" s="34"/>
      <c r="N101" s="34"/>
      <c r="O101" s="34"/>
      <c r="P101" s="11">
        <v>6336000</v>
      </c>
      <c r="Q101" s="11"/>
      <c r="R101" s="60" t="e">
        <f>#REF!</f>
        <v>#REF!</v>
      </c>
      <c r="S101" s="60">
        <v>8400000</v>
      </c>
      <c r="T101" s="60" t="e">
        <f>#REF!</f>
        <v>#REF!</v>
      </c>
      <c r="U101" s="59">
        <v>2800000</v>
      </c>
    </row>
    <row r="102" spans="1:21" ht="18" customHeight="1">
      <c r="A102" s="16" t="s">
        <v>258</v>
      </c>
      <c r="B102" s="6" t="s">
        <v>325</v>
      </c>
      <c r="C102" s="59"/>
      <c r="D102" s="59">
        <v>221113.62</v>
      </c>
      <c r="E102" s="59"/>
      <c r="F102" s="59">
        <v>4152251.84</v>
      </c>
      <c r="G102" s="59">
        <v>0</v>
      </c>
      <c r="H102" s="59">
        <v>0</v>
      </c>
      <c r="I102" s="60">
        <v>0</v>
      </c>
      <c r="J102" s="60">
        <v>0</v>
      </c>
      <c r="K102" s="60"/>
      <c r="L102" s="60"/>
      <c r="M102" s="34"/>
      <c r="N102" s="34"/>
      <c r="O102" s="34"/>
      <c r="P102" s="11">
        <v>15000000</v>
      </c>
      <c r="Q102" s="11"/>
      <c r="R102" s="60" t="e">
        <f>#REF!</f>
        <v>#REF!</v>
      </c>
      <c r="S102" s="60">
        <v>14100000</v>
      </c>
      <c r="T102" s="60" t="e">
        <f>#REF!</f>
        <v>#REF!</v>
      </c>
      <c r="U102" s="59">
        <v>0</v>
      </c>
    </row>
    <row r="103" spans="1:21" ht="18" customHeight="1">
      <c r="A103" s="16" t="s">
        <v>259</v>
      </c>
      <c r="B103" s="6" t="s">
        <v>180</v>
      </c>
      <c r="C103" s="59"/>
      <c r="D103" s="59"/>
      <c r="E103" s="59"/>
      <c r="F103" s="59"/>
      <c r="G103" s="59">
        <v>0</v>
      </c>
      <c r="H103" s="59">
        <v>0</v>
      </c>
      <c r="I103" s="60">
        <v>0</v>
      </c>
      <c r="J103" s="60">
        <v>0</v>
      </c>
      <c r="K103" s="60"/>
      <c r="L103" s="60"/>
      <c r="M103" s="34"/>
      <c r="N103" s="34"/>
      <c r="O103" s="34"/>
      <c r="P103" s="34"/>
      <c r="Q103" s="34"/>
      <c r="R103" s="34"/>
      <c r="S103" s="45">
        <v>1020000</v>
      </c>
      <c r="T103" s="78"/>
      <c r="U103" s="59">
        <v>1020000</v>
      </c>
    </row>
    <row r="104" spans="1:21" s="74" customFormat="1" ht="17.25" customHeight="1">
      <c r="A104" s="15" t="s">
        <v>260</v>
      </c>
      <c r="B104" s="5" t="s">
        <v>642</v>
      </c>
      <c r="C104" s="58">
        <f>SUM(C105:C110)</f>
        <v>0</v>
      </c>
      <c r="D104" s="58">
        <f>SUM(D105:D110)</f>
        <v>0</v>
      </c>
      <c r="E104" s="58">
        <f>SUM(E105:E110)</f>
        <v>275000</v>
      </c>
      <c r="F104" s="58">
        <f>SUM(F105:F110)</f>
        <v>0</v>
      </c>
      <c r="G104" s="59">
        <f>SUM(G105:G109)</f>
        <v>9000000</v>
      </c>
      <c r="H104" s="58">
        <f t="shared" ref="H104:U104" si="20">SUM(H105:H110)</f>
        <v>0</v>
      </c>
      <c r="I104" s="55">
        <f t="shared" si="20"/>
        <v>51671114</v>
      </c>
      <c r="J104" s="55">
        <f t="shared" si="20"/>
        <v>0</v>
      </c>
      <c r="K104" s="55">
        <f t="shared" si="20"/>
        <v>0</v>
      </c>
      <c r="L104" s="55">
        <f t="shared" si="20"/>
        <v>0</v>
      </c>
      <c r="M104" s="55">
        <f t="shared" si="20"/>
        <v>0</v>
      </c>
      <c r="N104" s="55">
        <f t="shared" si="20"/>
        <v>30000000</v>
      </c>
      <c r="O104" s="55">
        <f t="shared" si="20"/>
        <v>27384735.370000001</v>
      </c>
      <c r="P104" s="24">
        <f t="shared" si="20"/>
        <v>32768378.629999999</v>
      </c>
      <c r="Q104" s="24">
        <f t="shared" si="20"/>
        <v>19999538</v>
      </c>
      <c r="R104" s="55" t="e">
        <f t="shared" si="20"/>
        <v>#REF!</v>
      </c>
      <c r="S104" s="55">
        <f t="shared" si="20"/>
        <v>11476140</v>
      </c>
      <c r="T104" s="55" t="e">
        <f t="shared" si="20"/>
        <v>#REF!</v>
      </c>
      <c r="U104" s="55">
        <f t="shared" si="20"/>
        <v>350000</v>
      </c>
    </row>
    <row r="105" spans="1:21" ht="18" customHeight="1">
      <c r="A105" s="16" t="s">
        <v>261</v>
      </c>
      <c r="B105" s="6" t="s">
        <v>643</v>
      </c>
      <c r="C105" s="59"/>
      <c r="D105" s="59"/>
      <c r="E105" s="59"/>
      <c r="F105" s="59"/>
      <c r="G105" s="59">
        <v>0</v>
      </c>
      <c r="H105" s="59">
        <v>0</v>
      </c>
      <c r="I105" s="60">
        <v>0</v>
      </c>
      <c r="J105" s="60">
        <v>0</v>
      </c>
      <c r="K105" s="60"/>
      <c r="L105" s="60"/>
      <c r="M105" s="34"/>
      <c r="N105" s="34"/>
      <c r="O105" s="34"/>
      <c r="P105" s="34"/>
      <c r="Q105" s="34"/>
      <c r="R105" s="34"/>
      <c r="S105" s="55"/>
      <c r="T105" s="78"/>
      <c r="U105" s="78"/>
    </row>
    <row r="106" spans="1:21" ht="18" customHeight="1">
      <c r="A106" s="16" t="s">
        <v>262</v>
      </c>
      <c r="B106" s="6" t="s">
        <v>334</v>
      </c>
      <c r="C106" s="59"/>
      <c r="D106" s="59"/>
      <c r="E106" s="59"/>
      <c r="F106" s="59"/>
      <c r="G106" s="59">
        <v>9000000</v>
      </c>
      <c r="H106" s="59"/>
      <c r="I106" s="60">
        <v>51671114</v>
      </c>
      <c r="J106" s="60">
        <v>0</v>
      </c>
      <c r="K106" s="60"/>
      <c r="L106" s="60"/>
      <c r="M106" s="34"/>
      <c r="N106" s="55">
        <v>30000000</v>
      </c>
      <c r="O106" s="55">
        <v>27384735.370000001</v>
      </c>
      <c r="P106" s="55">
        <v>24286378.629999999</v>
      </c>
      <c r="Q106" s="55">
        <v>16294538</v>
      </c>
      <c r="R106" s="60" t="e">
        <f>#REF!</f>
        <v>#REF!</v>
      </c>
      <c r="S106" s="55">
        <v>3326140</v>
      </c>
      <c r="T106" s="60"/>
      <c r="U106" s="78"/>
    </row>
    <row r="107" spans="1:21" ht="18" customHeight="1">
      <c r="A107" s="16" t="s">
        <v>263</v>
      </c>
      <c r="B107" s="6" t="s">
        <v>333</v>
      </c>
      <c r="C107" s="59"/>
      <c r="D107" s="59"/>
      <c r="E107" s="59"/>
      <c r="F107" s="59"/>
      <c r="G107" s="59"/>
      <c r="H107" s="59"/>
      <c r="I107" s="60"/>
      <c r="J107" s="60"/>
      <c r="K107" s="60"/>
      <c r="L107" s="60"/>
      <c r="M107" s="34"/>
      <c r="N107" s="55"/>
      <c r="O107" s="55"/>
      <c r="P107" s="55">
        <v>7778000</v>
      </c>
      <c r="Q107" s="55">
        <v>3705000</v>
      </c>
      <c r="R107" s="60" t="e">
        <f>#REF!</f>
        <v>#REF!</v>
      </c>
      <c r="S107" s="60">
        <v>7100000</v>
      </c>
      <c r="T107" s="60" t="e">
        <f>#REF!</f>
        <v>#REF!</v>
      </c>
      <c r="U107" s="78">
        <v>0</v>
      </c>
    </row>
    <row r="108" spans="1:21" ht="18" customHeight="1">
      <c r="A108" s="16" t="s">
        <v>322</v>
      </c>
      <c r="B108" s="6" t="s">
        <v>335</v>
      </c>
      <c r="C108" s="59"/>
      <c r="D108" s="59"/>
      <c r="E108" s="59"/>
      <c r="F108" s="59"/>
      <c r="G108" s="59"/>
      <c r="H108" s="59"/>
      <c r="I108" s="60"/>
      <c r="J108" s="60"/>
      <c r="K108" s="60"/>
      <c r="L108" s="60"/>
      <c r="M108" s="34"/>
      <c r="N108" s="55"/>
      <c r="O108" s="55"/>
      <c r="P108" s="55">
        <v>704000</v>
      </c>
      <c r="Q108" s="55"/>
      <c r="R108" s="60" t="e">
        <f>#REF!</f>
        <v>#REF!</v>
      </c>
      <c r="S108" s="60">
        <v>1050000</v>
      </c>
      <c r="T108" s="60" t="e">
        <f>#REF!</f>
        <v>#REF!</v>
      </c>
      <c r="U108" s="59">
        <v>350000</v>
      </c>
    </row>
    <row r="109" spans="1:21" ht="16.5" customHeight="1">
      <c r="A109" s="16" t="s">
        <v>323</v>
      </c>
      <c r="B109" s="6" t="s">
        <v>644</v>
      </c>
      <c r="C109" s="59"/>
      <c r="D109" s="59"/>
      <c r="E109" s="59"/>
      <c r="F109" s="59"/>
      <c r="G109" s="59">
        <v>0</v>
      </c>
      <c r="H109" s="59">
        <v>0</v>
      </c>
      <c r="I109" s="60">
        <v>0</v>
      </c>
      <c r="J109" s="60">
        <v>0</v>
      </c>
      <c r="K109" s="60"/>
      <c r="L109" s="60"/>
      <c r="M109" s="34"/>
      <c r="N109" s="34"/>
      <c r="O109" s="34"/>
      <c r="P109" s="34"/>
      <c r="Q109" s="34"/>
      <c r="R109" s="34"/>
      <c r="S109" s="34"/>
      <c r="T109" s="78"/>
      <c r="U109" s="78"/>
    </row>
    <row r="110" spans="1:21" ht="17.25" customHeight="1">
      <c r="A110" s="15" t="s">
        <v>264</v>
      </c>
      <c r="B110" s="6" t="s">
        <v>645</v>
      </c>
      <c r="C110" s="59"/>
      <c r="D110" s="59"/>
      <c r="E110" s="59">
        <v>275000</v>
      </c>
      <c r="F110" s="59"/>
      <c r="G110" s="59">
        <v>0</v>
      </c>
      <c r="H110" s="59">
        <v>0</v>
      </c>
      <c r="I110" s="60">
        <v>0</v>
      </c>
      <c r="J110" s="60">
        <v>0</v>
      </c>
      <c r="K110" s="60"/>
      <c r="L110" s="60"/>
      <c r="M110" s="34"/>
      <c r="N110" s="34"/>
      <c r="O110" s="34"/>
      <c r="P110" s="34"/>
      <c r="Q110" s="34"/>
      <c r="R110" s="34"/>
      <c r="S110" s="34"/>
      <c r="T110" s="78"/>
      <c r="U110" s="78"/>
    </row>
    <row r="111" spans="1:21" s="66" customFormat="1" ht="18" customHeight="1">
      <c r="A111" s="15" t="s">
        <v>265</v>
      </c>
      <c r="B111" s="5" t="s">
        <v>646</v>
      </c>
      <c r="C111" s="58">
        <f t="shared" ref="C111:U111" si="21">SUM(C112:C115)</f>
        <v>9980185</v>
      </c>
      <c r="D111" s="58">
        <f t="shared" si="21"/>
        <v>11752221.9</v>
      </c>
      <c r="E111" s="58">
        <f t="shared" si="21"/>
        <v>9505705.0899999999</v>
      </c>
      <c r="F111" s="58">
        <f t="shared" si="21"/>
        <v>9722672.9499999993</v>
      </c>
      <c r="G111" s="58">
        <f t="shared" si="21"/>
        <v>19634000</v>
      </c>
      <c r="H111" s="58">
        <f t="shared" si="21"/>
        <v>9953139</v>
      </c>
      <c r="I111" s="55">
        <f t="shared" si="21"/>
        <v>13000000</v>
      </c>
      <c r="J111" s="55">
        <f t="shared" si="21"/>
        <v>1478600</v>
      </c>
      <c r="K111" s="55">
        <f t="shared" si="21"/>
        <v>4768750</v>
      </c>
      <c r="L111" s="55">
        <f t="shared" si="21"/>
        <v>13285000</v>
      </c>
      <c r="M111" s="55">
        <f t="shared" si="21"/>
        <v>13605875.17</v>
      </c>
      <c r="N111" s="55">
        <f t="shared" si="21"/>
        <v>13000000</v>
      </c>
      <c r="O111" s="55">
        <f t="shared" si="21"/>
        <v>13605875.17</v>
      </c>
      <c r="P111" s="55">
        <f t="shared" si="21"/>
        <v>13285000</v>
      </c>
      <c r="Q111" s="55">
        <f t="shared" si="21"/>
        <v>12135485</v>
      </c>
      <c r="R111" s="55" t="e">
        <f t="shared" si="21"/>
        <v>#REF!</v>
      </c>
      <c r="S111" s="55">
        <f t="shared" si="21"/>
        <v>13500000</v>
      </c>
      <c r="T111" s="55" t="e">
        <f t="shared" si="21"/>
        <v>#REF!</v>
      </c>
      <c r="U111" s="55">
        <f t="shared" si="21"/>
        <v>5000000</v>
      </c>
    </row>
    <row r="112" spans="1:21" ht="21.75" customHeight="1">
      <c r="A112" s="16" t="s">
        <v>266</v>
      </c>
      <c r="B112" s="6" t="s">
        <v>194</v>
      </c>
      <c r="C112" s="59"/>
      <c r="D112" s="59"/>
      <c r="E112" s="59"/>
      <c r="F112" s="59"/>
      <c r="G112" s="59">
        <v>12134000</v>
      </c>
      <c r="H112" s="59">
        <v>0</v>
      </c>
      <c r="I112" s="60">
        <v>0</v>
      </c>
      <c r="J112" s="60">
        <v>0</v>
      </c>
      <c r="K112" s="60">
        <v>3161000</v>
      </c>
      <c r="L112" s="60">
        <v>0</v>
      </c>
      <c r="M112" s="60"/>
      <c r="N112" s="60"/>
      <c r="O112" s="60"/>
      <c r="P112" s="60"/>
      <c r="Q112" s="60"/>
      <c r="R112" s="60"/>
      <c r="S112" s="60"/>
      <c r="T112" s="78"/>
      <c r="U112" s="78"/>
    </row>
    <row r="113" spans="1:22" ht="19.5" customHeight="1">
      <c r="A113" s="16" t="s">
        <v>267</v>
      </c>
      <c r="B113" s="6" t="s">
        <v>195</v>
      </c>
      <c r="C113" s="59">
        <v>9980185</v>
      </c>
      <c r="D113" s="59">
        <v>9752221.9000000004</v>
      </c>
      <c r="E113" s="59">
        <v>9505705.0899999999</v>
      </c>
      <c r="F113" s="59">
        <v>9722672.9499999993</v>
      </c>
      <c r="G113" s="59">
        <v>7500000</v>
      </c>
      <c r="H113" s="59">
        <v>9953139</v>
      </c>
      <c r="I113" s="60">
        <f>12000000+1000000</f>
        <v>13000000</v>
      </c>
      <c r="J113" s="11">
        <v>1478600</v>
      </c>
      <c r="K113" s="11">
        <v>1607750</v>
      </c>
      <c r="L113" s="60">
        <v>13285000</v>
      </c>
      <c r="M113" s="11">
        <f>7191685.17+2157960+3161000+1095230</f>
        <v>13605875.17</v>
      </c>
      <c r="N113" s="11">
        <v>13000000</v>
      </c>
      <c r="O113" s="11">
        <f>8286915.17+3161000+2157960</f>
        <v>13605875.17</v>
      </c>
      <c r="P113" s="11">
        <v>13285000</v>
      </c>
      <c r="Q113" s="11">
        <v>12135485</v>
      </c>
      <c r="R113" s="59" t="e">
        <f>#REF!</f>
        <v>#REF!</v>
      </c>
      <c r="S113" s="59">
        <v>13500000</v>
      </c>
      <c r="T113" s="59" t="e">
        <f>#REF!</f>
        <v>#REF!</v>
      </c>
      <c r="U113" s="59">
        <v>5000000</v>
      </c>
    </row>
    <row r="114" spans="1:22" ht="18" hidden="1" customHeight="1">
      <c r="A114" s="19" t="s">
        <v>268</v>
      </c>
      <c r="B114" s="6" t="s">
        <v>647</v>
      </c>
      <c r="C114" s="59"/>
      <c r="D114" s="59"/>
      <c r="E114" s="59"/>
      <c r="F114" s="59"/>
      <c r="G114" s="59">
        <v>0</v>
      </c>
      <c r="H114" s="59">
        <v>0</v>
      </c>
      <c r="I114" s="60"/>
      <c r="J114" s="60"/>
      <c r="K114" s="60"/>
      <c r="L114" s="60"/>
      <c r="M114" s="34"/>
      <c r="N114" s="34"/>
      <c r="O114" s="34"/>
      <c r="P114" s="34"/>
      <c r="Q114" s="34"/>
      <c r="R114" s="34"/>
      <c r="S114" s="34"/>
      <c r="T114" s="78"/>
      <c r="U114" s="78"/>
    </row>
    <row r="115" spans="1:22" ht="18" hidden="1" customHeight="1">
      <c r="A115" s="19" t="s">
        <v>269</v>
      </c>
      <c r="B115" s="6" t="s">
        <v>648</v>
      </c>
      <c r="C115" s="59"/>
      <c r="D115" s="59">
        <v>2000000</v>
      </c>
      <c r="E115" s="59"/>
      <c r="F115" s="59"/>
      <c r="G115" s="59">
        <v>0</v>
      </c>
      <c r="H115" s="59">
        <v>0</v>
      </c>
      <c r="I115" s="60"/>
      <c r="J115" s="60"/>
      <c r="K115" s="60"/>
      <c r="L115" s="60"/>
      <c r="M115" s="34"/>
      <c r="N115" s="34"/>
      <c r="O115" s="34"/>
      <c r="P115" s="34"/>
      <c r="Q115" s="34"/>
      <c r="R115" s="34"/>
      <c r="S115" s="34"/>
      <c r="T115" s="78"/>
      <c r="U115" s="78"/>
    </row>
    <row r="116" spans="1:22" ht="18" customHeight="1">
      <c r="A116" s="19" t="s">
        <v>270</v>
      </c>
      <c r="B116" s="6" t="s">
        <v>649</v>
      </c>
      <c r="C116" s="59"/>
      <c r="D116" s="59"/>
      <c r="E116" s="59">
        <v>53550</v>
      </c>
      <c r="F116" s="59"/>
      <c r="G116" s="59"/>
      <c r="H116" s="59">
        <v>151809</v>
      </c>
      <c r="I116" s="60"/>
      <c r="J116" s="60"/>
      <c r="K116" s="46">
        <v>352448</v>
      </c>
      <c r="L116" s="46">
        <v>352448</v>
      </c>
      <c r="M116" s="11">
        <v>516948</v>
      </c>
      <c r="N116" s="11"/>
      <c r="O116" s="11"/>
      <c r="P116" s="11"/>
      <c r="Q116" s="11">
        <v>0</v>
      </c>
      <c r="R116" s="11"/>
      <c r="S116" s="11"/>
      <c r="T116" s="59">
        <v>391909</v>
      </c>
      <c r="U116" s="78"/>
    </row>
    <row r="117" spans="1:22" ht="18" hidden="1" customHeight="1">
      <c r="A117" s="19" t="s">
        <v>271</v>
      </c>
      <c r="B117" s="6" t="s">
        <v>650</v>
      </c>
      <c r="C117" s="59"/>
      <c r="D117" s="59"/>
      <c r="E117" s="59"/>
      <c r="F117" s="59"/>
      <c r="G117" s="59">
        <v>0</v>
      </c>
      <c r="H117" s="59">
        <v>0</v>
      </c>
      <c r="I117" s="60"/>
      <c r="J117" s="60"/>
      <c r="K117" s="60"/>
      <c r="L117" s="60"/>
      <c r="M117" s="34"/>
      <c r="N117" s="34"/>
      <c r="O117" s="34"/>
      <c r="P117" s="34"/>
      <c r="Q117" s="34"/>
      <c r="R117" s="34"/>
      <c r="S117" s="34"/>
      <c r="T117" s="78"/>
      <c r="U117" s="78"/>
    </row>
    <row r="118" spans="1:22" ht="18" hidden="1" customHeight="1">
      <c r="A118" s="19" t="s">
        <v>272</v>
      </c>
      <c r="B118" s="6" t="s">
        <v>651</v>
      </c>
      <c r="C118" s="59"/>
      <c r="D118" s="59"/>
      <c r="E118" s="59"/>
      <c r="F118" s="59"/>
      <c r="G118" s="59">
        <v>0</v>
      </c>
      <c r="H118" s="59">
        <v>0</v>
      </c>
      <c r="I118" s="60"/>
      <c r="J118" s="60"/>
      <c r="K118" s="60"/>
      <c r="L118" s="60"/>
      <c r="M118" s="34"/>
      <c r="N118" s="34"/>
      <c r="O118" s="34"/>
      <c r="P118" s="34"/>
      <c r="Q118" s="34"/>
      <c r="R118" s="34"/>
      <c r="S118" s="34"/>
      <c r="T118" s="78"/>
      <c r="U118" s="78"/>
    </row>
    <row r="119" spans="1:22" ht="18" hidden="1" customHeight="1">
      <c r="A119" s="19" t="s">
        <v>273</v>
      </c>
      <c r="B119" s="6" t="s">
        <v>652</v>
      </c>
      <c r="C119" s="59"/>
      <c r="D119" s="59"/>
      <c r="E119" s="59"/>
      <c r="F119" s="59"/>
      <c r="G119" s="59">
        <v>0</v>
      </c>
      <c r="H119" s="59">
        <v>0</v>
      </c>
      <c r="I119" s="60"/>
      <c r="J119" s="60"/>
      <c r="K119" s="60"/>
      <c r="L119" s="60"/>
      <c r="M119" s="34"/>
      <c r="N119" s="34"/>
      <c r="O119" s="34"/>
      <c r="P119" s="34"/>
      <c r="Q119" s="34"/>
      <c r="R119" s="34"/>
      <c r="S119" s="34"/>
      <c r="T119" s="78"/>
      <c r="U119" s="78"/>
    </row>
    <row r="120" spans="1:22" ht="18" hidden="1" customHeight="1">
      <c r="A120" s="19" t="s">
        <v>274</v>
      </c>
      <c r="B120" s="6" t="s">
        <v>653</v>
      </c>
      <c r="C120" s="59"/>
      <c r="D120" s="59"/>
      <c r="E120" s="59"/>
      <c r="F120" s="59"/>
      <c r="G120" s="59">
        <v>0</v>
      </c>
      <c r="H120" s="59">
        <v>0</v>
      </c>
      <c r="I120" s="60"/>
      <c r="J120" s="60"/>
      <c r="K120" s="60"/>
      <c r="L120" s="60"/>
      <c r="M120" s="34"/>
      <c r="N120" s="34"/>
      <c r="O120" s="34"/>
      <c r="P120" s="34"/>
      <c r="Q120" s="34"/>
      <c r="R120" s="34"/>
      <c r="S120" s="34"/>
      <c r="T120" s="78"/>
      <c r="U120" s="78"/>
    </row>
    <row r="121" spans="1:22" ht="15.75" customHeight="1">
      <c r="A121" s="19" t="s">
        <v>275</v>
      </c>
      <c r="B121" s="6" t="s">
        <v>654</v>
      </c>
      <c r="C121" s="59">
        <v>18401838.420000002</v>
      </c>
      <c r="D121" s="59">
        <v>7507826.3799999999</v>
      </c>
      <c r="E121" s="59">
        <v>9963333.1600000001</v>
      </c>
      <c r="F121" s="59">
        <v>3209352.99</v>
      </c>
      <c r="G121" s="59">
        <v>4860593.55</v>
      </c>
      <c r="H121" s="59">
        <v>3074424.07</v>
      </c>
      <c r="I121" s="60">
        <v>22784033.239999998</v>
      </c>
      <c r="J121" s="60">
        <v>22784033.239999998</v>
      </c>
      <c r="K121" s="60">
        <v>22784033.239999998</v>
      </c>
      <c r="L121" s="60">
        <v>22784033.239999998</v>
      </c>
      <c r="M121" s="60">
        <v>22784033.239999998</v>
      </c>
      <c r="N121" s="60">
        <v>22784033.239999998</v>
      </c>
      <c r="O121" s="60">
        <v>22784033.239999998</v>
      </c>
      <c r="P121" s="60">
        <v>9020810.2799999993</v>
      </c>
      <c r="Q121" s="60">
        <v>9020810.2799999993</v>
      </c>
      <c r="R121" s="48"/>
      <c r="S121" s="48">
        <v>21124466.649999999</v>
      </c>
      <c r="T121" s="59">
        <v>20493137.690000001</v>
      </c>
      <c r="U121" s="78"/>
    </row>
    <row r="122" spans="1:22" ht="21.75" customHeight="1">
      <c r="A122" s="19" t="s">
        <v>276</v>
      </c>
      <c r="B122" s="6" t="s">
        <v>391</v>
      </c>
      <c r="C122" s="78"/>
      <c r="D122" s="59"/>
      <c r="E122" s="59"/>
      <c r="F122" s="59"/>
      <c r="G122" s="59"/>
      <c r="H122" s="59"/>
      <c r="I122" s="60"/>
      <c r="J122" s="60"/>
      <c r="K122" s="60"/>
      <c r="L122" s="60"/>
      <c r="M122" s="83"/>
      <c r="N122" s="83"/>
      <c r="O122" s="83"/>
      <c r="P122" s="83"/>
      <c r="Q122" s="60">
        <v>6154816.9299999997</v>
      </c>
      <c r="R122" s="83"/>
      <c r="S122" s="83"/>
      <c r="T122" s="48">
        <v>4277558.93</v>
      </c>
      <c r="U122" s="78"/>
      <c r="V122" s="86"/>
    </row>
    <row r="123" spans="1:22" ht="18" hidden="1" customHeight="1">
      <c r="A123" s="19" t="s">
        <v>277</v>
      </c>
      <c r="B123" s="6" t="s">
        <v>655</v>
      </c>
      <c r="C123" s="59"/>
      <c r="D123" s="59"/>
      <c r="E123" s="59"/>
      <c r="F123" s="59"/>
      <c r="G123" s="59"/>
      <c r="H123" s="59"/>
      <c r="I123" s="60"/>
      <c r="J123" s="60"/>
      <c r="K123" s="60"/>
      <c r="L123" s="60"/>
      <c r="M123" s="34"/>
      <c r="N123" s="34"/>
      <c r="O123" s="34"/>
      <c r="P123" s="34"/>
      <c r="Q123" s="34"/>
      <c r="R123" s="34"/>
      <c r="S123" s="34"/>
      <c r="T123" s="78"/>
      <c r="U123" s="78"/>
    </row>
    <row r="124" spans="1:22" ht="24" customHeight="1">
      <c r="A124" s="20"/>
      <c r="B124" s="5" t="s">
        <v>2</v>
      </c>
      <c r="C124" s="59">
        <f>C121+C64+C4+C116</f>
        <v>78756934.420000002</v>
      </c>
      <c r="D124" s="59">
        <f>D121+D64+D4+D116</f>
        <v>119661639.08000001</v>
      </c>
      <c r="E124" s="59">
        <f>E121+E64+E4+E116</f>
        <v>103511790.31999999</v>
      </c>
      <c r="F124" s="59">
        <f>F121+F64+F4+F116</f>
        <v>123552261.97</v>
      </c>
      <c r="G124" s="59">
        <f>G121+G64+G4</f>
        <v>139128523.62</v>
      </c>
      <c r="H124" s="59">
        <f t="shared" ref="H124:P124" si="22">H121+H64+H4+H116</f>
        <v>123519680.03999999</v>
      </c>
      <c r="I124" s="60">
        <f t="shared" si="22"/>
        <v>190463042.64000002</v>
      </c>
      <c r="J124" s="60">
        <f t="shared" si="22"/>
        <v>61283127.199999996</v>
      </c>
      <c r="K124" s="60">
        <f t="shared" si="22"/>
        <v>66704505.439999998</v>
      </c>
      <c r="L124" s="60">
        <f t="shared" si="22"/>
        <v>115962906.23999999</v>
      </c>
      <c r="M124" s="60">
        <f t="shared" si="22"/>
        <v>112111837.56999999</v>
      </c>
      <c r="N124" s="60">
        <f t="shared" si="22"/>
        <v>170426214.16000003</v>
      </c>
      <c r="O124" s="60">
        <f t="shared" si="22"/>
        <v>168795963.42000002</v>
      </c>
      <c r="P124" s="60">
        <f t="shared" si="22"/>
        <v>197735688.91</v>
      </c>
      <c r="Q124" s="60">
        <f>Q121+Q64+Q4+Q116+Q122</f>
        <v>177771579.31</v>
      </c>
      <c r="R124" s="60" t="e">
        <f>R121+R64+R4+R116+R122</f>
        <v>#REF!</v>
      </c>
      <c r="S124" s="60">
        <f>S4+S64+S116+S121+S122</f>
        <v>227752860.65000001</v>
      </c>
      <c r="T124" s="60" t="e">
        <f>T4+T64+T116+T121+T122</f>
        <v>#REF!</v>
      </c>
      <c r="U124" s="60">
        <f>U4+U64+U116+U121+U122</f>
        <v>172700150</v>
      </c>
    </row>
    <row r="125" spans="1:22" s="82" customFormat="1" ht="36.75" customHeight="1">
      <c r="A125" s="63"/>
      <c r="B125" s="64"/>
      <c r="C125" s="72"/>
      <c r="D125" s="72"/>
      <c r="E125" s="72"/>
      <c r="F125" s="72"/>
      <c r="G125" s="72"/>
      <c r="H125" s="72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93"/>
    </row>
    <row r="126" spans="1:22" ht="18" customHeight="1">
      <c r="A126" s="63"/>
      <c r="B126" s="64"/>
      <c r="C126" s="72"/>
      <c r="D126" s="72"/>
      <c r="E126" s="72"/>
      <c r="F126" s="72"/>
      <c r="G126" s="72"/>
      <c r="H126" s="72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93"/>
    </row>
    <row r="127" spans="1:22" ht="15">
      <c r="A127" s="183" t="s">
        <v>409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2" ht="12" customHeight="1">
      <c r="A128" s="184" t="s">
        <v>429</v>
      </c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</row>
    <row r="129" spans="1:21" s="13" customFormat="1" ht="60" customHeight="1">
      <c r="A129" s="29" t="s">
        <v>3</v>
      </c>
      <c r="B129" s="30" t="s">
        <v>4</v>
      </c>
      <c r="C129" s="22" t="s">
        <v>201</v>
      </c>
      <c r="D129" s="22" t="s">
        <v>202</v>
      </c>
      <c r="E129" s="22" t="s">
        <v>199</v>
      </c>
      <c r="F129" s="22" t="s">
        <v>200</v>
      </c>
      <c r="G129" s="22" t="s">
        <v>192</v>
      </c>
      <c r="H129" s="22" t="s">
        <v>408</v>
      </c>
      <c r="I129" s="9" t="s">
        <v>295</v>
      </c>
      <c r="J129" s="9" t="s">
        <v>188</v>
      </c>
      <c r="K129" s="9" t="s">
        <v>206</v>
      </c>
      <c r="L129" s="9" t="s">
        <v>206</v>
      </c>
      <c r="M129" s="9" t="s">
        <v>297</v>
      </c>
      <c r="N129" s="9" t="s">
        <v>313</v>
      </c>
      <c r="O129" s="9" t="s">
        <v>314</v>
      </c>
      <c r="P129" s="9" t="s">
        <v>327</v>
      </c>
      <c r="Q129" s="9" t="s">
        <v>331</v>
      </c>
      <c r="R129" s="9" t="s">
        <v>656</v>
      </c>
      <c r="S129" s="9" t="s">
        <v>166</v>
      </c>
      <c r="T129" s="9" t="s">
        <v>336</v>
      </c>
      <c r="U129" s="9" t="s">
        <v>182</v>
      </c>
    </row>
    <row r="130" spans="1:21" ht="18">
      <c r="A130" s="146">
        <v>1</v>
      </c>
      <c r="B130" s="147" t="s">
        <v>5</v>
      </c>
      <c r="C130" s="148">
        <f t="shared" ref="C130:Q130" si="23">C131+C136+C140+C141+C142+C143+C144+C145+C146+C152+C158+C159+C165+C170+C181+C182+C185</f>
        <v>20306642.520000003</v>
      </c>
      <c r="D130" s="148">
        <f t="shared" si="23"/>
        <v>26593436.32</v>
      </c>
      <c r="E130" s="148">
        <f t="shared" si="23"/>
        <v>27082999.719999999</v>
      </c>
      <c r="F130" s="148">
        <f t="shared" si="23"/>
        <v>27575056.890000004</v>
      </c>
      <c r="G130" s="148">
        <f t="shared" si="23"/>
        <v>26354827</v>
      </c>
      <c r="H130" s="148">
        <f t="shared" si="23"/>
        <v>25470121.699999999</v>
      </c>
      <c r="I130" s="149">
        <f t="shared" si="23"/>
        <v>29750000</v>
      </c>
      <c r="J130" s="149">
        <f t="shared" si="23"/>
        <v>11710585.220000001</v>
      </c>
      <c r="K130" s="149">
        <f t="shared" si="23"/>
        <v>13721284.219999999</v>
      </c>
      <c r="L130" s="149">
        <f t="shared" si="23"/>
        <v>32700000</v>
      </c>
      <c r="M130" s="149">
        <f t="shared" si="23"/>
        <v>26209032.629999999</v>
      </c>
      <c r="N130" s="149">
        <f t="shared" si="23"/>
        <v>29765000</v>
      </c>
      <c r="O130" s="149">
        <f t="shared" si="23"/>
        <v>29329767.410000004</v>
      </c>
      <c r="P130" s="149">
        <f t="shared" si="23"/>
        <v>36695000</v>
      </c>
      <c r="Q130" s="149">
        <f t="shared" si="23"/>
        <v>37020661.93</v>
      </c>
      <c r="R130" s="149" t="e">
        <f>R131+R136+R140+R141+R142+R143+R144+R145+R146+R152+R156+R158+R159+R165+R170+R181+R182+R185</f>
        <v>#REF!</v>
      </c>
      <c r="S130" s="149">
        <f>S131+S136+S140+S141+S142+S143+S144+S145+S146+S152+S156+S158+S159+S165+S170+S181+S185</f>
        <v>34696000</v>
      </c>
      <c r="T130" s="149" t="e">
        <f>T131+T136+T140+T141+T142+T143+T144+T145+T146+T152+T156+T158+T159+T165+T170+T181+T182+T185</f>
        <v>#REF!</v>
      </c>
      <c r="U130" s="149">
        <f>U131+U136+U140+U141+U142+U143+U144+U145+U146+U152+U156+U159+U165+U170+U181+U185</f>
        <v>34250000</v>
      </c>
    </row>
    <row r="131" spans="1:21" ht="18">
      <c r="A131" s="164" t="s">
        <v>6</v>
      </c>
      <c r="B131" s="165" t="s">
        <v>7</v>
      </c>
      <c r="C131" s="166">
        <f t="shared" ref="C131:U131" si="24">SUM(C132:C135)</f>
        <v>10540620.1</v>
      </c>
      <c r="D131" s="166">
        <f t="shared" si="24"/>
        <v>14672336.390000001</v>
      </c>
      <c r="E131" s="166">
        <f t="shared" si="24"/>
        <v>15438519.08</v>
      </c>
      <c r="F131" s="166">
        <f t="shared" si="24"/>
        <v>15394338.34</v>
      </c>
      <c r="G131" s="166">
        <f t="shared" si="24"/>
        <v>17741000</v>
      </c>
      <c r="H131" s="166">
        <f t="shared" si="24"/>
        <v>17397424.399999999</v>
      </c>
      <c r="I131" s="167">
        <f t="shared" si="24"/>
        <v>18175000</v>
      </c>
      <c r="J131" s="167">
        <f t="shared" si="24"/>
        <v>8170150.5</v>
      </c>
      <c r="K131" s="167">
        <f t="shared" si="24"/>
        <v>8658722.5</v>
      </c>
      <c r="L131" s="167">
        <f t="shared" si="24"/>
        <v>19500000</v>
      </c>
      <c r="M131" s="167">
        <f t="shared" si="24"/>
        <v>16574381.6</v>
      </c>
      <c r="N131" s="167">
        <f t="shared" si="24"/>
        <v>17850000</v>
      </c>
      <c r="O131" s="167">
        <f t="shared" si="24"/>
        <v>17940990.600000001</v>
      </c>
      <c r="P131" s="167">
        <f t="shared" si="24"/>
        <v>20875000</v>
      </c>
      <c r="Q131" s="167">
        <f t="shared" si="24"/>
        <v>20271938.600000001</v>
      </c>
      <c r="R131" s="167" t="e">
        <f t="shared" si="24"/>
        <v>#REF!</v>
      </c>
      <c r="S131" s="167">
        <f t="shared" si="24"/>
        <v>21625000</v>
      </c>
      <c r="T131" s="167" t="e">
        <f t="shared" si="24"/>
        <v>#REF!</v>
      </c>
      <c r="U131" s="167">
        <f t="shared" si="24"/>
        <v>22050000</v>
      </c>
    </row>
    <row r="132" spans="1:21">
      <c r="A132" s="37" t="s">
        <v>8</v>
      </c>
      <c r="B132" s="38" t="s">
        <v>9</v>
      </c>
      <c r="C132" s="59">
        <v>9665220.0999999996</v>
      </c>
      <c r="D132" s="59">
        <v>12712936.390000001</v>
      </c>
      <c r="E132" s="59">
        <v>13422094.08</v>
      </c>
      <c r="F132" s="59">
        <v>13414538.34</v>
      </c>
      <c r="G132" s="59">
        <v>15500000</v>
      </c>
      <c r="H132" s="59">
        <v>15414024.4</v>
      </c>
      <c r="I132" s="60">
        <v>15800000</v>
      </c>
      <c r="J132" s="11">
        <v>7948030.5</v>
      </c>
      <c r="K132" s="85">
        <v>8143082.5</v>
      </c>
      <c r="L132" s="60">
        <v>17000000</v>
      </c>
      <c r="M132" s="46">
        <v>14317741.6</v>
      </c>
      <c r="N132" s="46">
        <v>15800000</v>
      </c>
      <c r="O132" s="45">
        <v>15533670.6</v>
      </c>
      <c r="P132" s="45">
        <v>18175000</v>
      </c>
      <c r="Q132" s="45">
        <v>18099538.600000001</v>
      </c>
      <c r="R132" s="45" t="e">
        <f>#REF!</f>
        <v>#REF!</v>
      </c>
      <c r="S132" s="45">
        <v>18175000</v>
      </c>
      <c r="T132" s="60" t="e">
        <f>#REF!</f>
        <v>#REF!</v>
      </c>
      <c r="U132" s="60">
        <v>18500000</v>
      </c>
    </row>
    <row r="133" spans="1:21">
      <c r="A133" s="37" t="s">
        <v>10</v>
      </c>
      <c r="B133" s="38" t="s">
        <v>11</v>
      </c>
      <c r="C133" s="59">
        <v>0</v>
      </c>
      <c r="D133" s="59">
        <v>0</v>
      </c>
      <c r="E133" s="59">
        <v>0</v>
      </c>
      <c r="F133" s="59">
        <v>0</v>
      </c>
      <c r="G133" s="59">
        <v>250000</v>
      </c>
      <c r="H133" s="59">
        <v>0</v>
      </c>
      <c r="I133" s="60">
        <v>250000</v>
      </c>
      <c r="J133" s="60">
        <v>0</v>
      </c>
      <c r="K133" s="60"/>
      <c r="L133" s="60">
        <v>250000</v>
      </c>
      <c r="M133" s="25"/>
      <c r="N133" s="25"/>
      <c r="O133" s="25"/>
      <c r="P133" s="45">
        <v>250000</v>
      </c>
      <c r="Q133" s="45">
        <v>0</v>
      </c>
      <c r="R133" s="45" t="e">
        <f>#REF!</f>
        <v>#REF!</v>
      </c>
      <c r="S133" s="45">
        <v>100000</v>
      </c>
      <c r="T133" s="60" t="e">
        <f>#REF!</f>
        <v>#REF!</v>
      </c>
      <c r="U133" s="45">
        <v>200000</v>
      </c>
    </row>
    <row r="134" spans="1:21">
      <c r="A134" s="37" t="s">
        <v>12</v>
      </c>
      <c r="B134" s="38" t="s">
        <v>13</v>
      </c>
      <c r="C134" s="59">
        <v>650000</v>
      </c>
      <c r="D134" s="59">
        <v>1741000</v>
      </c>
      <c r="E134" s="59">
        <v>1741000</v>
      </c>
      <c r="F134" s="59">
        <v>1741000</v>
      </c>
      <c r="G134" s="59">
        <v>1741000</v>
      </c>
      <c r="H134" s="59">
        <v>1741000</v>
      </c>
      <c r="I134" s="60">
        <v>1750000</v>
      </c>
      <c r="J134" s="11">
        <v>222120</v>
      </c>
      <c r="K134" s="85">
        <v>515640</v>
      </c>
      <c r="L134" s="60">
        <v>1750000</v>
      </c>
      <c r="M134" s="46">
        <v>2256640</v>
      </c>
      <c r="N134" s="46">
        <v>2050000</v>
      </c>
      <c r="O134" s="45">
        <v>2034520</v>
      </c>
      <c r="P134" s="45">
        <v>1950000</v>
      </c>
      <c r="Q134" s="45">
        <v>1950000</v>
      </c>
      <c r="R134" s="45" t="e">
        <f>#REF!</f>
        <v>#REF!</v>
      </c>
      <c r="S134" s="45">
        <v>3000000</v>
      </c>
      <c r="T134" s="60" t="e">
        <f>#REF!</f>
        <v>#REF!</v>
      </c>
      <c r="U134" s="45">
        <v>3000000</v>
      </c>
    </row>
    <row r="135" spans="1:21">
      <c r="A135" s="37" t="s">
        <v>14</v>
      </c>
      <c r="B135" s="38" t="s">
        <v>15</v>
      </c>
      <c r="C135" s="59">
        <v>225400</v>
      </c>
      <c r="D135" s="59">
        <v>218400</v>
      </c>
      <c r="E135" s="59">
        <v>275425</v>
      </c>
      <c r="F135" s="59">
        <v>238800</v>
      </c>
      <c r="G135" s="59">
        <v>250000</v>
      </c>
      <c r="H135" s="59">
        <v>242400</v>
      </c>
      <c r="I135" s="60">
        <v>375000</v>
      </c>
      <c r="J135" s="60">
        <v>0</v>
      </c>
      <c r="K135" s="60"/>
      <c r="L135" s="60">
        <v>500000</v>
      </c>
      <c r="M135" s="25"/>
      <c r="N135" s="25"/>
      <c r="O135" s="45">
        <v>372800</v>
      </c>
      <c r="P135" s="45">
        <v>500000</v>
      </c>
      <c r="Q135" s="45">
        <v>222400</v>
      </c>
      <c r="R135" s="45" t="e">
        <f>#REF!</f>
        <v>#REF!</v>
      </c>
      <c r="S135" s="45">
        <v>350000</v>
      </c>
      <c r="T135" s="60" t="e">
        <f>#REF!</f>
        <v>#REF!</v>
      </c>
      <c r="U135" s="45">
        <v>350000</v>
      </c>
    </row>
    <row r="136" spans="1:21" ht="18">
      <c r="A136" s="168" t="s">
        <v>16</v>
      </c>
      <c r="B136" s="169" t="s">
        <v>400</v>
      </c>
      <c r="C136" s="170">
        <f t="shared" ref="C136:T136" si="25">SUM(C137:C139)</f>
        <v>252384</v>
      </c>
      <c r="D136" s="170">
        <f t="shared" si="25"/>
        <v>294080</v>
      </c>
      <c r="E136" s="170">
        <f t="shared" si="25"/>
        <v>1500100</v>
      </c>
      <c r="F136" s="170">
        <f t="shared" si="25"/>
        <v>1672041</v>
      </c>
      <c r="G136" s="170">
        <f t="shared" si="25"/>
        <v>475000</v>
      </c>
      <c r="H136" s="170">
        <f t="shared" si="25"/>
        <v>368950</v>
      </c>
      <c r="I136" s="171">
        <f t="shared" si="25"/>
        <v>1750000</v>
      </c>
      <c r="J136" s="171">
        <f t="shared" si="25"/>
        <v>92400</v>
      </c>
      <c r="K136" s="171">
        <f t="shared" si="25"/>
        <v>112000</v>
      </c>
      <c r="L136" s="171">
        <f t="shared" si="25"/>
        <v>950000</v>
      </c>
      <c r="M136" s="171">
        <f t="shared" si="25"/>
        <v>207200</v>
      </c>
      <c r="N136" s="171">
        <f t="shared" si="25"/>
        <v>400000</v>
      </c>
      <c r="O136" s="171">
        <f t="shared" si="25"/>
        <v>380300</v>
      </c>
      <c r="P136" s="171">
        <f t="shared" si="25"/>
        <v>1770000</v>
      </c>
      <c r="Q136" s="171">
        <f t="shared" si="25"/>
        <v>1161100</v>
      </c>
      <c r="R136" s="171" t="e">
        <f t="shared" si="25"/>
        <v>#REF!</v>
      </c>
      <c r="S136" s="171">
        <f t="shared" si="25"/>
        <v>1300000</v>
      </c>
      <c r="T136" s="171" t="e">
        <f t="shared" si="25"/>
        <v>#REF!</v>
      </c>
      <c r="U136" s="171">
        <f>SUM(U137:U139)</f>
        <v>1400000</v>
      </c>
    </row>
    <row r="137" spans="1:21">
      <c r="A137" s="37" t="s">
        <v>17</v>
      </c>
      <c r="B137" s="38" t="s">
        <v>401</v>
      </c>
      <c r="C137" s="59">
        <v>103184</v>
      </c>
      <c r="D137" s="59">
        <v>151380</v>
      </c>
      <c r="E137" s="59">
        <v>1353000</v>
      </c>
      <c r="F137" s="59">
        <v>1489600</v>
      </c>
      <c r="G137" s="59">
        <v>200000</v>
      </c>
      <c r="H137" s="59">
        <v>170100</v>
      </c>
      <c r="I137" s="60">
        <v>1250000</v>
      </c>
      <c r="J137" s="11">
        <v>74000</v>
      </c>
      <c r="K137" s="85">
        <v>74000</v>
      </c>
      <c r="L137" s="60">
        <v>350000</v>
      </c>
      <c r="M137" s="46">
        <v>130600</v>
      </c>
      <c r="N137" s="46">
        <v>150000</v>
      </c>
      <c r="O137" s="45">
        <v>130600</v>
      </c>
      <c r="P137" s="45">
        <v>1170000</v>
      </c>
      <c r="Q137" s="45">
        <v>992800</v>
      </c>
      <c r="R137" s="45" t="e">
        <f>#REF!</f>
        <v>#REF!</v>
      </c>
      <c r="S137" s="45">
        <v>1000000</v>
      </c>
      <c r="T137" s="60" t="e">
        <f>#REF!</f>
        <v>#REF!</v>
      </c>
      <c r="U137" s="45">
        <v>1000000</v>
      </c>
    </row>
    <row r="138" spans="1:21">
      <c r="A138" s="37" t="s">
        <v>18</v>
      </c>
      <c r="B138" s="38" t="s">
        <v>186</v>
      </c>
      <c r="C138" s="59">
        <v>0</v>
      </c>
      <c r="D138" s="59">
        <v>0</v>
      </c>
      <c r="E138" s="59">
        <v>0</v>
      </c>
      <c r="F138" s="59">
        <v>0</v>
      </c>
      <c r="G138" s="59">
        <v>50000</v>
      </c>
      <c r="H138" s="59">
        <v>0</v>
      </c>
      <c r="I138" s="60">
        <v>50000</v>
      </c>
      <c r="J138" s="60">
        <v>0</v>
      </c>
      <c r="K138" s="60"/>
      <c r="L138" s="60">
        <v>100000</v>
      </c>
      <c r="M138" s="46"/>
      <c r="N138" s="46"/>
      <c r="O138" s="25"/>
      <c r="P138" s="45">
        <v>100000</v>
      </c>
      <c r="Q138" s="45">
        <v>0</v>
      </c>
      <c r="R138" s="45" t="e">
        <f>#REF!</f>
        <v>#REF!</v>
      </c>
      <c r="S138" s="45">
        <v>50000</v>
      </c>
      <c r="T138" s="60" t="e">
        <f>#REF!</f>
        <v>#REF!</v>
      </c>
      <c r="U138" s="45">
        <v>100000</v>
      </c>
    </row>
    <row r="139" spans="1:21">
      <c r="A139" s="37" t="s">
        <v>19</v>
      </c>
      <c r="B139" s="38" t="s">
        <v>20</v>
      </c>
      <c r="C139" s="59">
        <v>149200</v>
      </c>
      <c r="D139" s="59">
        <v>142700</v>
      </c>
      <c r="E139" s="59">
        <v>147100</v>
      </c>
      <c r="F139" s="59">
        <v>182441</v>
      </c>
      <c r="G139" s="59">
        <v>225000</v>
      </c>
      <c r="H139" s="59">
        <v>198850</v>
      </c>
      <c r="I139" s="60">
        <v>450000</v>
      </c>
      <c r="J139" s="11">
        <v>18400</v>
      </c>
      <c r="K139" s="85">
        <v>38000</v>
      </c>
      <c r="L139" s="60">
        <v>500000</v>
      </c>
      <c r="M139" s="47">
        <v>76600</v>
      </c>
      <c r="N139" s="47">
        <v>250000</v>
      </c>
      <c r="O139" s="45">
        <v>249700</v>
      </c>
      <c r="P139" s="45">
        <v>500000</v>
      </c>
      <c r="Q139" s="45">
        <v>168300</v>
      </c>
      <c r="R139" s="45" t="e">
        <f>#REF!</f>
        <v>#REF!</v>
      </c>
      <c r="S139" s="45">
        <v>250000</v>
      </c>
      <c r="T139" s="60" t="e">
        <f>#REF!</f>
        <v>#REF!</v>
      </c>
      <c r="U139" s="45">
        <v>300000</v>
      </c>
    </row>
    <row r="140" spans="1:21">
      <c r="A140" s="172" t="s">
        <v>21</v>
      </c>
      <c r="B140" s="173" t="s">
        <v>22</v>
      </c>
      <c r="C140" s="174">
        <v>591323</v>
      </c>
      <c r="D140" s="174">
        <v>145960</v>
      </c>
      <c r="E140" s="174">
        <v>565978</v>
      </c>
      <c r="F140" s="174">
        <v>633340</v>
      </c>
      <c r="G140" s="174">
        <v>775000</v>
      </c>
      <c r="H140" s="174">
        <v>758901</v>
      </c>
      <c r="I140" s="175">
        <v>800000</v>
      </c>
      <c r="J140" s="176">
        <v>340455</v>
      </c>
      <c r="K140" s="177">
        <v>463080</v>
      </c>
      <c r="L140" s="175">
        <v>100000</v>
      </c>
      <c r="M140" s="178">
        <v>773312</v>
      </c>
      <c r="N140" s="178">
        <v>800000</v>
      </c>
      <c r="O140" s="179">
        <v>741902</v>
      </c>
      <c r="P140" s="179">
        <v>100000</v>
      </c>
      <c r="Q140" s="179">
        <v>38981</v>
      </c>
      <c r="R140" s="180" t="e">
        <f>#REF!</f>
        <v>#REF!</v>
      </c>
      <c r="S140" s="180">
        <v>100000</v>
      </c>
      <c r="T140" s="175" t="e">
        <f>#REF!</f>
        <v>#REF!</v>
      </c>
      <c r="U140" s="180">
        <v>100000</v>
      </c>
    </row>
    <row r="141" spans="1:21">
      <c r="A141" s="37" t="s">
        <v>23</v>
      </c>
      <c r="B141" s="38" t="s">
        <v>24</v>
      </c>
      <c r="C141" s="59">
        <v>350805</v>
      </c>
      <c r="D141" s="59">
        <v>544855</v>
      </c>
      <c r="E141" s="59">
        <v>440402</v>
      </c>
      <c r="F141" s="59">
        <v>863040</v>
      </c>
      <c r="G141" s="59">
        <v>575000</v>
      </c>
      <c r="H141" s="59">
        <v>567050</v>
      </c>
      <c r="I141" s="60">
        <v>600000</v>
      </c>
      <c r="J141" s="11">
        <v>10800</v>
      </c>
      <c r="K141" s="85">
        <v>10800</v>
      </c>
      <c r="L141" s="60">
        <v>650000</v>
      </c>
      <c r="M141" s="46">
        <v>558300</v>
      </c>
      <c r="N141" s="46">
        <v>575000</v>
      </c>
      <c r="O141" s="45">
        <v>575800</v>
      </c>
      <c r="P141" s="45">
        <v>700000</v>
      </c>
      <c r="Q141" s="45">
        <v>534450</v>
      </c>
      <c r="R141" s="65" t="e">
        <f>#REF!</f>
        <v>#REF!</v>
      </c>
      <c r="S141" s="65">
        <v>725000</v>
      </c>
      <c r="T141" s="60" t="e">
        <f>#REF!</f>
        <v>#REF!</v>
      </c>
      <c r="U141" s="65">
        <v>650000</v>
      </c>
    </row>
    <row r="142" spans="1:21">
      <c r="A142" s="37" t="s">
        <v>25</v>
      </c>
      <c r="B142" s="38" t="s">
        <v>26</v>
      </c>
      <c r="C142" s="59">
        <v>295119</v>
      </c>
      <c r="D142" s="59">
        <v>315610.74</v>
      </c>
      <c r="E142" s="59">
        <v>249100</v>
      </c>
      <c r="F142" s="59">
        <v>268100</v>
      </c>
      <c r="G142" s="59">
        <v>0</v>
      </c>
      <c r="H142" s="59">
        <v>0</v>
      </c>
      <c r="I142" s="60">
        <v>0</v>
      </c>
      <c r="J142" s="11">
        <v>64800</v>
      </c>
      <c r="K142" s="85">
        <v>64800</v>
      </c>
      <c r="L142" s="60">
        <v>0</v>
      </c>
      <c r="M142" s="46">
        <v>0</v>
      </c>
      <c r="N142" s="46"/>
      <c r="O142" s="46"/>
      <c r="P142" s="46">
        <v>0</v>
      </c>
      <c r="Q142" s="46">
        <v>0</v>
      </c>
      <c r="R142" s="65" t="e">
        <f>#REF!</f>
        <v>#REF!</v>
      </c>
      <c r="S142" s="65"/>
      <c r="T142" s="60" t="e">
        <f>#REF!</f>
        <v>#REF!</v>
      </c>
      <c r="U142" s="45"/>
    </row>
    <row r="143" spans="1:21">
      <c r="A143" s="37" t="s">
        <v>27</v>
      </c>
      <c r="B143" s="38" t="s">
        <v>28</v>
      </c>
      <c r="C143" s="58">
        <v>120768</v>
      </c>
      <c r="D143" s="58">
        <v>88233</v>
      </c>
      <c r="E143" s="58">
        <v>23040</v>
      </c>
      <c r="F143" s="58">
        <v>4280</v>
      </c>
      <c r="G143" s="58">
        <v>50000</v>
      </c>
      <c r="H143" s="58">
        <v>39601</v>
      </c>
      <c r="I143" s="55">
        <v>100000</v>
      </c>
      <c r="J143" s="55">
        <v>0</v>
      </c>
      <c r="K143" s="55"/>
      <c r="L143" s="55">
        <v>550000</v>
      </c>
      <c r="M143" s="46">
        <v>100000</v>
      </c>
      <c r="N143" s="46">
        <v>100000</v>
      </c>
      <c r="O143" s="45">
        <v>100000</v>
      </c>
      <c r="P143" s="45">
        <v>550000</v>
      </c>
      <c r="Q143" s="45">
        <v>1186174</v>
      </c>
      <c r="R143" s="65" t="e">
        <f>#REF!</f>
        <v>#REF!</v>
      </c>
      <c r="S143" s="65">
        <v>771000</v>
      </c>
      <c r="T143" s="60" t="e">
        <f>#REF!</f>
        <v>#REF!</v>
      </c>
      <c r="U143" s="65">
        <v>800000</v>
      </c>
    </row>
    <row r="144" spans="1:21">
      <c r="A144" s="37" t="s">
        <v>29</v>
      </c>
      <c r="B144" s="38" t="s">
        <v>30</v>
      </c>
      <c r="C144" s="59"/>
      <c r="D144" s="59"/>
      <c r="E144" s="59">
        <v>0</v>
      </c>
      <c r="F144" s="59">
        <v>0</v>
      </c>
      <c r="G144" s="59">
        <v>0</v>
      </c>
      <c r="H144" s="59">
        <v>0</v>
      </c>
      <c r="I144" s="60">
        <v>0</v>
      </c>
      <c r="J144" s="60">
        <v>0</v>
      </c>
      <c r="K144" s="60"/>
      <c r="L144" s="60">
        <v>0</v>
      </c>
      <c r="M144" s="25"/>
      <c r="N144" s="25"/>
      <c r="O144" s="25"/>
      <c r="P144" s="45">
        <v>0</v>
      </c>
      <c r="Q144" s="45">
        <v>0</v>
      </c>
      <c r="R144" s="65">
        <v>0</v>
      </c>
      <c r="S144" s="65"/>
      <c r="T144" s="60" t="e">
        <f>#REF!</f>
        <v>#REF!</v>
      </c>
      <c r="U144" s="45"/>
    </row>
    <row r="145" spans="1:21">
      <c r="A145" s="37" t="s">
        <v>31</v>
      </c>
      <c r="B145" s="38" t="s">
        <v>183</v>
      </c>
      <c r="C145" s="58">
        <v>18000</v>
      </c>
      <c r="D145" s="58"/>
      <c r="E145" s="58">
        <v>136578</v>
      </c>
      <c r="F145" s="58">
        <v>105456</v>
      </c>
      <c r="G145" s="58">
        <v>100000</v>
      </c>
      <c r="H145" s="58">
        <v>20000</v>
      </c>
      <c r="I145" s="55">
        <v>200000</v>
      </c>
      <c r="J145" s="55">
        <v>200000</v>
      </c>
      <c r="K145" s="55">
        <v>200000</v>
      </c>
      <c r="L145" s="55">
        <v>200000</v>
      </c>
      <c r="M145" s="55">
        <v>23765</v>
      </c>
      <c r="N145" s="55">
        <v>150000</v>
      </c>
      <c r="O145" s="45">
        <v>104375</v>
      </c>
      <c r="P145" s="45">
        <v>500000</v>
      </c>
      <c r="Q145" s="45">
        <v>360411</v>
      </c>
      <c r="R145" s="65" t="e">
        <f>#REF!</f>
        <v>#REF!</v>
      </c>
      <c r="S145" s="65">
        <v>300000</v>
      </c>
      <c r="T145" s="60" t="e">
        <f>#REF!</f>
        <v>#REF!</v>
      </c>
      <c r="U145" s="65">
        <v>300000</v>
      </c>
    </row>
    <row r="146" spans="1:21" ht="18">
      <c r="A146" s="146">
        <v>2</v>
      </c>
      <c r="B146" s="147" t="s">
        <v>32</v>
      </c>
      <c r="C146" s="148">
        <f t="shared" ref="C146:U146" si="26">SUM(C147:C151)</f>
        <v>2011081.29</v>
      </c>
      <c r="D146" s="148">
        <f t="shared" si="26"/>
        <v>2678279.75</v>
      </c>
      <c r="E146" s="148">
        <f t="shared" si="26"/>
        <v>2473741.42</v>
      </c>
      <c r="F146" s="148">
        <f t="shared" si="26"/>
        <v>2476440.33</v>
      </c>
      <c r="G146" s="148">
        <f t="shared" si="26"/>
        <v>3525000</v>
      </c>
      <c r="H146" s="148">
        <f t="shared" si="26"/>
        <v>3421735.0300000003</v>
      </c>
      <c r="I146" s="149">
        <f t="shared" si="26"/>
        <v>2850000</v>
      </c>
      <c r="J146" s="149">
        <f t="shared" si="26"/>
        <v>1849898.72</v>
      </c>
      <c r="K146" s="149">
        <f t="shared" si="26"/>
        <v>2527623.7199999997</v>
      </c>
      <c r="L146" s="149">
        <f t="shared" si="26"/>
        <v>3350000</v>
      </c>
      <c r="M146" s="149">
        <f t="shared" si="26"/>
        <v>4038546.33</v>
      </c>
      <c r="N146" s="149">
        <f t="shared" si="26"/>
        <v>4475000</v>
      </c>
      <c r="O146" s="149">
        <f t="shared" si="26"/>
        <v>4330552.8100000005</v>
      </c>
      <c r="P146" s="149">
        <f t="shared" si="26"/>
        <v>3700000</v>
      </c>
      <c r="Q146" s="149">
        <f t="shared" si="26"/>
        <v>3437933.54</v>
      </c>
      <c r="R146" s="149" t="e">
        <f t="shared" si="26"/>
        <v>#REF!</v>
      </c>
      <c r="S146" s="149">
        <f t="shared" si="26"/>
        <v>3700000</v>
      </c>
      <c r="T146" s="149" t="e">
        <f t="shared" si="26"/>
        <v>#REF!</v>
      </c>
      <c r="U146" s="149">
        <f t="shared" si="26"/>
        <v>4000000</v>
      </c>
    </row>
    <row r="147" spans="1:21">
      <c r="A147" s="37" t="s">
        <v>33</v>
      </c>
      <c r="B147" s="38" t="s">
        <v>34</v>
      </c>
      <c r="C147" s="59">
        <v>384091.24</v>
      </c>
      <c r="D147" s="59">
        <v>416634.75</v>
      </c>
      <c r="E147" s="59">
        <v>511636.42</v>
      </c>
      <c r="F147" s="59">
        <v>500775.34</v>
      </c>
      <c r="G147" s="59">
        <v>300000</v>
      </c>
      <c r="H147" s="59">
        <v>295966.40000000002</v>
      </c>
      <c r="I147" s="60">
        <v>300000</v>
      </c>
      <c r="J147" s="11">
        <v>93168.42</v>
      </c>
      <c r="K147" s="85">
        <v>93659.42</v>
      </c>
      <c r="L147" s="60">
        <v>400000</v>
      </c>
      <c r="M147" s="47">
        <v>153427.69</v>
      </c>
      <c r="N147" s="47">
        <v>200000</v>
      </c>
      <c r="O147" s="45">
        <v>186777.67</v>
      </c>
      <c r="P147" s="45">
        <v>450000</v>
      </c>
      <c r="Q147" s="45">
        <v>167680.42000000001</v>
      </c>
      <c r="R147" s="45" t="e">
        <f>#REF!</f>
        <v>#REF!</v>
      </c>
      <c r="S147" s="45">
        <v>350000</v>
      </c>
      <c r="T147" s="60" t="e">
        <f>#REF!</f>
        <v>#REF!</v>
      </c>
      <c r="U147" s="45">
        <v>400000</v>
      </c>
    </row>
    <row r="148" spans="1:21">
      <c r="A148" s="37" t="s">
        <v>35</v>
      </c>
      <c r="B148" s="38" t="s">
        <v>36</v>
      </c>
      <c r="C148" s="59"/>
      <c r="D148" s="59"/>
      <c r="E148" s="59">
        <v>0</v>
      </c>
      <c r="F148" s="59">
        <v>0</v>
      </c>
      <c r="G148" s="59">
        <v>300000</v>
      </c>
      <c r="H148" s="59">
        <v>299836.63</v>
      </c>
      <c r="I148" s="60">
        <v>300000</v>
      </c>
      <c r="J148" s="11">
        <v>94232.3</v>
      </c>
      <c r="K148" s="85">
        <v>124035.3</v>
      </c>
      <c r="L148" s="60">
        <v>350000</v>
      </c>
      <c r="M148" s="47">
        <v>277244.64</v>
      </c>
      <c r="N148" s="47">
        <v>300000</v>
      </c>
      <c r="O148" s="45">
        <v>297948.56</v>
      </c>
      <c r="P148" s="45">
        <v>350000</v>
      </c>
      <c r="Q148" s="45">
        <v>311071.12</v>
      </c>
      <c r="R148" s="45" t="e">
        <f>#REF!</f>
        <v>#REF!</v>
      </c>
      <c r="S148" s="45">
        <v>400000</v>
      </c>
      <c r="T148" s="60" t="e">
        <f>#REF!</f>
        <v>#REF!</v>
      </c>
      <c r="U148" s="45">
        <v>400000</v>
      </c>
    </row>
    <row r="149" spans="1:21">
      <c r="A149" s="37" t="s">
        <v>37</v>
      </c>
      <c r="B149" s="38" t="s">
        <v>38</v>
      </c>
      <c r="C149" s="59">
        <f>619974+285194</f>
        <v>905168</v>
      </c>
      <c r="D149" s="59">
        <f>694359+606875</f>
        <v>1301234</v>
      </c>
      <c r="E149" s="59">
        <f>650644+601295</f>
        <v>1251939</v>
      </c>
      <c r="F149" s="59">
        <f>721807+683792</f>
        <v>1405599</v>
      </c>
      <c r="G149" s="59">
        <f>1050000+1050000</f>
        <v>2100000</v>
      </c>
      <c r="H149" s="59">
        <f>1021450+1011634</f>
        <v>2033084</v>
      </c>
      <c r="I149" s="60">
        <v>1350000</v>
      </c>
      <c r="J149" s="11">
        <f>483186+444113</f>
        <v>927299</v>
      </c>
      <c r="K149" s="11">
        <f>595401+820210</f>
        <v>1415611</v>
      </c>
      <c r="L149" s="60">
        <v>1450000</v>
      </c>
      <c r="M149" s="46">
        <f>1251740+1225880</f>
        <v>2477620</v>
      </c>
      <c r="N149" s="45">
        <v>2800000</v>
      </c>
      <c r="O149" s="45">
        <f>1317767.58+1441710</f>
        <v>2759477.58</v>
      </c>
      <c r="P149" s="45">
        <v>1500000</v>
      </c>
      <c r="Q149" s="45">
        <v>1570376</v>
      </c>
      <c r="R149" s="45" t="e">
        <f>#REF!</f>
        <v>#REF!</v>
      </c>
      <c r="S149" s="45">
        <v>1800000</v>
      </c>
      <c r="T149" s="60" t="e">
        <f>#REF!</f>
        <v>#REF!</v>
      </c>
      <c r="U149" s="45">
        <v>1800000</v>
      </c>
    </row>
    <row r="150" spans="1:21">
      <c r="A150" s="37" t="s">
        <v>39</v>
      </c>
      <c r="B150" s="38" t="s">
        <v>40</v>
      </c>
      <c r="C150" s="59">
        <v>177825</v>
      </c>
      <c r="D150" s="59">
        <v>186143</v>
      </c>
      <c r="E150" s="59">
        <v>170440</v>
      </c>
      <c r="F150" s="59">
        <v>229620</v>
      </c>
      <c r="G150" s="59">
        <v>325000</v>
      </c>
      <c r="H150" s="59">
        <v>313509</v>
      </c>
      <c r="I150" s="60">
        <v>300000</v>
      </c>
      <c r="J150" s="11">
        <v>225000</v>
      </c>
      <c r="K150" s="85">
        <v>261800</v>
      </c>
      <c r="L150" s="60">
        <v>350000</v>
      </c>
      <c r="M150" s="46">
        <v>366215</v>
      </c>
      <c r="N150" s="46">
        <v>350000</v>
      </c>
      <c r="O150" s="45">
        <v>273515</v>
      </c>
      <c r="P150" s="45">
        <v>400000</v>
      </c>
      <c r="Q150" s="45">
        <v>407780</v>
      </c>
      <c r="R150" s="45" t="e">
        <f>#REF!</f>
        <v>#REF!</v>
      </c>
      <c r="S150" s="45">
        <v>400000</v>
      </c>
      <c r="T150" s="60" t="e">
        <f>#REF!</f>
        <v>#REF!</v>
      </c>
      <c r="U150" s="45">
        <v>400000</v>
      </c>
    </row>
    <row r="151" spans="1:21">
      <c r="A151" s="37" t="s">
        <v>41</v>
      </c>
      <c r="B151" s="38" t="s">
        <v>402</v>
      </c>
      <c r="C151" s="59">
        <v>543997.05000000005</v>
      </c>
      <c r="D151" s="59">
        <v>774268</v>
      </c>
      <c r="E151" s="59">
        <v>539726</v>
      </c>
      <c r="F151" s="59">
        <v>340445.99</v>
      </c>
      <c r="G151" s="59">
        <v>500000</v>
      </c>
      <c r="H151" s="59">
        <v>479339</v>
      </c>
      <c r="I151" s="60">
        <v>600000</v>
      </c>
      <c r="J151" s="11">
        <v>510199</v>
      </c>
      <c r="K151" s="85">
        <v>632518</v>
      </c>
      <c r="L151" s="60">
        <v>800000</v>
      </c>
      <c r="M151" s="46">
        <v>764039</v>
      </c>
      <c r="N151" s="46">
        <v>825000</v>
      </c>
      <c r="O151" s="45">
        <v>812834</v>
      </c>
      <c r="P151" s="45">
        <v>1000000</v>
      </c>
      <c r="Q151" s="45">
        <v>981026</v>
      </c>
      <c r="R151" s="45" t="e">
        <f>#REF!</f>
        <v>#REF!</v>
      </c>
      <c r="S151" s="45">
        <v>750000</v>
      </c>
      <c r="T151" s="60" t="e">
        <f>#REF!</f>
        <v>#REF!</v>
      </c>
      <c r="U151" s="45">
        <v>1000000</v>
      </c>
    </row>
    <row r="152" spans="1:21">
      <c r="A152" s="35" t="s">
        <v>42</v>
      </c>
      <c r="B152" s="39" t="s">
        <v>43</v>
      </c>
      <c r="C152" s="58">
        <f t="shared" ref="C152:U152" si="27">SUM(C153:C155)</f>
        <v>566827.13</v>
      </c>
      <c r="D152" s="58">
        <f t="shared" si="27"/>
        <v>596791.44999999995</v>
      </c>
      <c r="E152" s="58">
        <f t="shared" si="27"/>
        <v>619217.23</v>
      </c>
      <c r="F152" s="58">
        <f t="shared" si="27"/>
        <v>864967.3</v>
      </c>
      <c r="G152" s="58">
        <f t="shared" si="27"/>
        <v>950000</v>
      </c>
      <c r="H152" s="58">
        <f t="shared" si="27"/>
        <v>903737</v>
      </c>
      <c r="I152" s="55">
        <f t="shared" si="27"/>
        <v>1050000</v>
      </c>
      <c r="J152" s="55">
        <f t="shared" si="27"/>
        <v>372755</v>
      </c>
      <c r="K152" s="55">
        <f t="shared" si="27"/>
        <v>946438</v>
      </c>
      <c r="L152" s="55">
        <f t="shared" si="27"/>
        <v>1450000</v>
      </c>
      <c r="M152" s="55">
        <f t="shared" si="27"/>
        <v>1288496</v>
      </c>
      <c r="N152" s="55">
        <f t="shared" si="27"/>
        <v>1335000</v>
      </c>
      <c r="O152" s="55">
        <f t="shared" si="27"/>
        <v>1307772</v>
      </c>
      <c r="P152" s="55">
        <f t="shared" si="27"/>
        <v>1650000</v>
      </c>
      <c r="Q152" s="55">
        <f t="shared" si="27"/>
        <v>1303913</v>
      </c>
      <c r="R152" s="55" t="e">
        <f t="shared" si="27"/>
        <v>#REF!</v>
      </c>
      <c r="S152" s="55">
        <f t="shared" si="27"/>
        <v>1300000</v>
      </c>
      <c r="T152" s="55" t="e">
        <f t="shared" si="27"/>
        <v>#REF!</v>
      </c>
      <c r="U152" s="65">
        <f t="shared" si="27"/>
        <v>1200000</v>
      </c>
    </row>
    <row r="153" spans="1:21">
      <c r="A153" s="37" t="s">
        <v>44</v>
      </c>
      <c r="B153" s="38" t="s">
        <v>403</v>
      </c>
      <c r="C153" s="59">
        <v>183971.03</v>
      </c>
      <c r="D153" s="59">
        <v>296765.8</v>
      </c>
      <c r="E153" s="59">
        <v>175620</v>
      </c>
      <c r="F153" s="59">
        <v>193592.3</v>
      </c>
      <c r="G153" s="59">
        <v>150000</v>
      </c>
      <c r="H153" s="59">
        <v>146302.5</v>
      </c>
      <c r="I153" s="60">
        <v>250000</v>
      </c>
      <c r="J153" s="11">
        <v>220059</v>
      </c>
      <c r="K153" s="11">
        <v>246753.3</v>
      </c>
      <c r="L153" s="60">
        <v>450000</v>
      </c>
      <c r="M153" s="46">
        <v>251653.3</v>
      </c>
      <c r="N153" s="46">
        <v>260000</v>
      </c>
      <c r="O153" s="45">
        <v>251653.3</v>
      </c>
      <c r="P153" s="45">
        <v>500000</v>
      </c>
      <c r="Q153" s="45">
        <v>297708</v>
      </c>
      <c r="R153" s="45" t="e">
        <f>#REF!</f>
        <v>#REF!</v>
      </c>
      <c r="S153" s="45">
        <v>300000</v>
      </c>
      <c r="T153" s="60" t="e">
        <f>#REF!</f>
        <v>#REF!</v>
      </c>
      <c r="U153" s="45">
        <v>200000</v>
      </c>
    </row>
    <row r="154" spans="1:21">
      <c r="A154" s="37" t="s">
        <v>45</v>
      </c>
      <c r="B154" s="38" t="s">
        <v>187</v>
      </c>
      <c r="C154" s="59">
        <f>194113.85+188742.25</f>
        <v>382856.1</v>
      </c>
      <c r="D154" s="59">
        <f>189883.45+110142.2</f>
        <v>300025.65000000002</v>
      </c>
      <c r="E154" s="59">
        <f>119860+251830.73</f>
        <v>371690.73</v>
      </c>
      <c r="F154" s="59">
        <f>146842.5+428515.5</f>
        <v>575358</v>
      </c>
      <c r="G154" s="59">
        <v>350000</v>
      </c>
      <c r="H154" s="59">
        <v>340198</v>
      </c>
      <c r="I154" s="60">
        <v>300000</v>
      </c>
      <c r="J154" s="11">
        <v>78018.3</v>
      </c>
      <c r="K154" s="11">
        <v>243291</v>
      </c>
      <c r="L154" s="60">
        <v>650000</v>
      </c>
      <c r="M154" s="46">
        <v>558291</v>
      </c>
      <c r="N154" s="46">
        <v>575000</v>
      </c>
      <c r="O154" s="45">
        <v>558291</v>
      </c>
      <c r="P154" s="45">
        <v>700000</v>
      </c>
      <c r="Q154" s="45">
        <v>699931</v>
      </c>
      <c r="R154" s="45" t="e">
        <f>#REF!</f>
        <v>#REF!</v>
      </c>
      <c r="S154" s="45">
        <v>500000</v>
      </c>
      <c r="T154" s="60" t="e">
        <f>#REF!</f>
        <v>#REF!</v>
      </c>
      <c r="U154" s="45">
        <v>500000</v>
      </c>
    </row>
    <row r="155" spans="1:21">
      <c r="A155" s="37" t="s">
        <v>46</v>
      </c>
      <c r="B155" s="38" t="s">
        <v>47</v>
      </c>
      <c r="C155" s="59"/>
      <c r="D155" s="59"/>
      <c r="E155" s="59">
        <v>71906.5</v>
      </c>
      <c r="F155" s="59">
        <v>96017</v>
      </c>
      <c r="G155" s="59">
        <v>450000</v>
      </c>
      <c r="H155" s="59">
        <v>417236.5</v>
      </c>
      <c r="I155" s="60">
        <v>500000</v>
      </c>
      <c r="J155" s="11">
        <v>74677.7</v>
      </c>
      <c r="K155" s="11">
        <v>456393.7</v>
      </c>
      <c r="L155" s="60">
        <v>350000</v>
      </c>
      <c r="M155" s="46">
        <v>478551.7</v>
      </c>
      <c r="N155" s="46">
        <v>500000</v>
      </c>
      <c r="O155" s="45">
        <v>497827.7</v>
      </c>
      <c r="P155" s="45">
        <v>450000</v>
      </c>
      <c r="Q155" s="45">
        <v>306274</v>
      </c>
      <c r="R155" s="45" t="e">
        <f>#REF!</f>
        <v>#REF!</v>
      </c>
      <c r="S155" s="45">
        <v>500000</v>
      </c>
      <c r="T155" s="60" t="e">
        <f>#REF!</f>
        <v>#REF!</v>
      </c>
      <c r="U155" s="45">
        <v>500000</v>
      </c>
    </row>
    <row r="156" spans="1:21">
      <c r="A156" s="37" t="s">
        <v>48</v>
      </c>
      <c r="B156" s="39" t="s">
        <v>49</v>
      </c>
      <c r="C156" s="59"/>
      <c r="D156" s="59"/>
      <c r="E156" s="59"/>
      <c r="F156" s="59"/>
      <c r="G156" s="59">
        <v>0</v>
      </c>
      <c r="H156" s="59">
        <v>0</v>
      </c>
      <c r="I156" s="60">
        <v>0</v>
      </c>
      <c r="J156" s="60">
        <v>0</v>
      </c>
      <c r="K156" s="60"/>
      <c r="L156" s="60">
        <v>0</v>
      </c>
      <c r="M156" s="25"/>
      <c r="N156" s="25"/>
      <c r="O156" s="25"/>
      <c r="P156" s="45">
        <v>0</v>
      </c>
      <c r="Q156" s="45">
        <v>0</v>
      </c>
      <c r="R156" s="65" t="e">
        <f>#REF!</f>
        <v>#REF!</v>
      </c>
      <c r="S156" s="65">
        <f>SUM(S157:S158)</f>
        <v>350000</v>
      </c>
      <c r="T156" s="65" t="e">
        <f>SUM(T157:T158)</f>
        <v>#REF!</v>
      </c>
      <c r="U156" s="65">
        <f>SUM(U157:U158)</f>
        <v>550000</v>
      </c>
    </row>
    <row r="157" spans="1:21">
      <c r="A157" s="37" t="s">
        <v>50</v>
      </c>
      <c r="B157" s="38" t="s">
        <v>51</v>
      </c>
      <c r="C157" s="59"/>
      <c r="D157" s="59"/>
      <c r="E157" s="59"/>
      <c r="F157" s="59"/>
      <c r="G157" s="59">
        <v>0</v>
      </c>
      <c r="H157" s="59">
        <v>0</v>
      </c>
      <c r="I157" s="60">
        <v>0</v>
      </c>
      <c r="J157" s="60">
        <v>0</v>
      </c>
      <c r="K157" s="60"/>
      <c r="L157" s="60">
        <v>0</v>
      </c>
      <c r="M157" s="25"/>
      <c r="N157" s="25"/>
      <c r="O157" s="25"/>
      <c r="P157" s="45">
        <v>0</v>
      </c>
      <c r="Q157" s="45">
        <v>0</v>
      </c>
      <c r="R157" s="45">
        <v>350000</v>
      </c>
      <c r="S157" s="45">
        <v>350000</v>
      </c>
      <c r="T157" s="60" t="e">
        <f>#REF!</f>
        <v>#REF!</v>
      </c>
      <c r="U157" s="45">
        <v>350000</v>
      </c>
    </row>
    <row r="158" spans="1:21">
      <c r="A158" s="37" t="s">
        <v>52</v>
      </c>
      <c r="B158" s="38" t="s">
        <v>53</v>
      </c>
      <c r="C158" s="59"/>
      <c r="D158" s="59"/>
      <c r="E158" s="59"/>
      <c r="F158" s="59"/>
      <c r="G158" s="59"/>
      <c r="H158" s="59">
        <v>0</v>
      </c>
      <c r="I158" s="60">
        <v>0</v>
      </c>
      <c r="J158" s="60">
        <v>0</v>
      </c>
      <c r="K158" s="60"/>
      <c r="L158" s="60">
        <v>0</v>
      </c>
      <c r="M158" s="25"/>
      <c r="N158" s="25"/>
      <c r="O158" s="25"/>
      <c r="P158" s="45">
        <v>0</v>
      </c>
      <c r="Q158" s="45">
        <v>0</v>
      </c>
      <c r="R158" s="45">
        <v>0</v>
      </c>
      <c r="S158" s="45">
        <v>0</v>
      </c>
      <c r="T158" s="60" t="e">
        <f>#REF!</f>
        <v>#REF!</v>
      </c>
      <c r="U158" s="45">
        <v>200000</v>
      </c>
    </row>
    <row r="159" spans="1:21">
      <c r="A159" s="35" t="s">
        <v>54</v>
      </c>
      <c r="B159" s="39" t="s">
        <v>404</v>
      </c>
      <c r="C159" s="58">
        <f t="shared" ref="C159:U159" si="28">SUM(C160:C164)</f>
        <v>460500</v>
      </c>
      <c r="D159" s="58">
        <f t="shared" si="28"/>
        <v>576322.99</v>
      </c>
      <c r="E159" s="58">
        <f t="shared" si="28"/>
        <v>539391.99</v>
      </c>
      <c r="F159" s="58">
        <f t="shared" si="28"/>
        <v>403800</v>
      </c>
      <c r="G159" s="58">
        <f t="shared" si="28"/>
        <v>678827</v>
      </c>
      <c r="H159" s="58">
        <f t="shared" si="28"/>
        <v>587446</v>
      </c>
      <c r="I159" s="55">
        <f t="shared" si="28"/>
        <v>650000</v>
      </c>
      <c r="J159" s="55">
        <f t="shared" si="28"/>
        <v>334612</v>
      </c>
      <c r="K159" s="55">
        <f t="shared" si="28"/>
        <v>423006</v>
      </c>
      <c r="L159" s="55">
        <f t="shared" si="28"/>
        <v>1000000</v>
      </c>
      <c r="M159" s="55">
        <f t="shared" si="28"/>
        <v>593892.84000000008</v>
      </c>
      <c r="N159" s="55">
        <f t="shared" si="28"/>
        <v>650000</v>
      </c>
      <c r="O159" s="55">
        <f t="shared" si="28"/>
        <v>618819.84000000008</v>
      </c>
      <c r="P159" s="55">
        <f t="shared" si="28"/>
        <v>1000000</v>
      </c>
      <c r="Q159" s="55">
        <f t="shared" si="28"/>
        <v>911965</v>
      </c>
      <c r="R159" s="55" t="e">
        <f t="shared" si="28"/>
        <v>#REF!</v>
      </c>
      <c r="S159" s="55">
        <f t="shared" si="28"/>
        <v>725000</v>
      </c>
      <c r="T159" s="55" t="e">
        <f t="shared" si="28"/>
        <v>#REF!</v>
      </c>
      <c r="U159" s="65">
        <f t="shared" si="28"/>
        <v>800000</v>
      </c>
    </row>
    <row r="160" spans="1:21">
      <c r="A160" s="37" t="s">
        <v>55</v>
      </c>
      <c r="B160" s="38" t="s">
        <v>56</v>
      </c>
      <c r="C160" s="59">
        <v>25000</v>
      </c>
      <c r="D160" s="59">
        <v>35000</v>
      </c>
      <c r="E160" s="59">
        <v>0</v>
      </c>
      <c r="F160" s="59">
        <v>25000</v>
      </c>
      <c r="G160" s="59">
        <v>25000</v>
      </c>
      <c r="H160" s="59">
        <v>25000</v>
      </c>
      <c r="I160" s="60">
        <v>50000</v>
      </c>
      <c r="J160" s="60">
        <v>0</v>
      </c>
      <c r="K160" s="60"/>
      <c r="L160" s="60">
        <v>50000</v>
      </c>
      <c r="M160" s="25"/>
      <c r="N160" s="46">
        <v>50000</v>
      </c>
      <c r="O160" s="45">
        <v>25000</v>
      </c>
      <c r="P160" s="45">
        <v>50000</v>
      </c>
      <c r="Q160" s="45">
        <v>50000</v>
      </c>
      <c r="R160" s="45" t="e">
        <f>#REF!</f>
        <v>#REF!</v>
      </c>
      <c r="S160" s="45">
        <v>50000</v>
      </c>
      <c r="T160" s="60" t="e">
        <f>#REF!</f>
        <v>#REF!</v>
      </c>
      <c r="U160" s="45">
        <v>50000</v>
      </c>
    </row>
    <row r="161" spans="1:21">
      <c r="A161" s="37" t="s">
        <v>57</v>
      </c>
      <c r="B161" s="38" t="s">
        <v>58</v>
      </c>
      <c r="C161" s="59">
        <v>41354</v>
      </c>
      <c r="D161" s="59">
        <v>42400</v>
      </c>
      <c r="E161" s="59">
        <v>42800</v>
      </c>
      <c r="F161" s="59">
        <v>37500</v>
      </c>
      <c r="G161" s="59">
        <v>50000</v>
      </c>
      <c r="H161" s="59">
        <v>49950</v>
      </c>
      <c r="I161" s="60">
        <v>50000</v>
      </c>
      <c r="J161" s="11">
        <v>13100</v>
      </c>
      <c r="K161" s="11">
        <v>19900</v>
      </c>
      <c r="L161" s="60">
        <v>50000</v>
      </c>
      <c r="M161" s="46">
        <v>49700</v>
      </c>
      <c r="N161" s="46">
        <v>50000</v>
      </c>
      <c r="O161" s="45">
        <v>49700</v>
      </c>
      <c r="P161" s="45">
        <v>50000</v>
      </c>
      <c r="Q161" s="45">
        <v>8000</v>
      </c>
      <c r="R161" s="45" t="e">
        <f>#REF!</f>
        <v>#REF!</v>
      </c>
      <c r="S161" s="45">
        <v>50000</v>
      </c>
      <c r="T161" s="60" t="e">
        <f>#REF!</f>
        <v>#REF!</v>
      </c>
      <c r="U161" s="45">
        <v>50000</v>
      </c>
    </row>
    <row r="162" spans="1:21">
      <c r="A162" s="37" t="s">
        <v>59</v>
      </c>
      <c r="B162" s="38" t="s">
        <v>405</v>
      </c>
      <c r="C162" s="59"/>
      <c r="D162" s="59">
        <v>0</v>
      </c>
      <c r="E162" s="59">
        <v>0</v>
      </c>
      <c r="F162" s="59">
        <v>29375</v>
      </c>
      <c r="G162" s="59">
        <v>50000</v>
      </c>
      <c r="H162" s="59">
        <v>0</v>
      </c>
      <c r="I162" s="60">
        <v>50000</v>
      </c>
      <c r="J162" s="60">
        <v>0</v>
      </c>
      <c r="K162" s="60"/>
      <c r="L162" s="60">
        <v>50000</v>
      </c>
      <c r="M162" s="46">
        <v>50000</v>
      </c>
      <c r="N162" s="46">
        <v>50000</v>
      </c>
      <c r="O162" s="45">
        <v>50000</v>
      </c>
      <c r="P162" s="45">
        <v>50000</v>
      </c>
      <c r="Q162" s="45">
        <v>15000</v>
      </c>
      <c r="R162" s="45" t="e">
        <f>#REF!</f>
        <v>#REF!</v>
      </c>
      <c r="S162" s="45">
        <v>50000</v>
      </c>
      <c r="T162" s="60" t="e">
        <f>#REF!</f>
        <v>#REF!</v>
      </c>
      <c r="U162" s="45">
        <v>50000</v>
      </c>
    </row>
    <row r="163" spans="1:21">
      <c r="A163" s="37" t="s">
        <v>60</v>
      </c>
      <c r="B163" s="38" t="s">
        <v>61</v>
      </c>
      <c r="C163" s="59"/>
      <c r="D163" s="59">
        <v>0</v>
      </c>
      <c r="E163" s="59">
        <v>17037</v>
      </c>
      <c r="F163" s="59">
        <v>12200</v>
      </c>
      <c r="G163" s="59">
        <v>100000</v>
      </c>
      <c r="H163" s="59">
        <v>90830</v>
      </c>
      <c r="I163" s="60">
        <v>50000</v>
      </c>
      <c r="J163" s="60">
        <v>0</v>
      </c>
      <c r="K163" s="60"/>
      <c r="L163" s="60">
        <v>250000</v>
      </c>
      <c r="M163" s="46">
        <v>50000</v>
      </c>
      <c r="N163" s="46">
        <v>50000</v>
      </c>
      <c r="O163" s="45">
        <v>50000</v>
      </c>
      <c r="P163" s="45">
        <v>250000</v>
      </c>
      <c r="Q163" s="45">
        <v>239541</v>
      </c>
      <c r="R163" s="45" t="e">
        <f>#REF!</f>
        <v>#REF!</v>
      </c>
      <c r="S163" s="45">
        <v>175000</v>
      </c>
      <c r="T163" s="60" t="e">
        <f>#REF!</f>
        <v>#REF!</v>
      </c>
      <c r="U163" s="45">
        <v>250000</v>
      </c>
    </row>
    <row r="164" spans="1:21">
      <c r="A164" s="37" t="s">
        <v>62</v>
      </c>
      <c r="B164" s="38" t="s">
        <v>404</v>
      </c>
      <c r="C164" s="59">
        <v>394146</v>
      </c>
      <c r="D164" s="59">
        <v>498922.99</v>
      </c>
      <c r="E164" s="59">
        <v>479554.99</v>
      </c>
      <c r="F164" s="59">
        <v>299725</v>
      </c>
      <c r="G164" s="59">
        <v>453827</v>
      </c>
      <c r="H164" s="59">
        <v>421666</v>
      </c>
      <c r="I164" s="60">
        <v>450000</v>
      </c>
      <c r="J164" s="11">
        <v>321512</v>
      </c>
      <c r="K164" s="11">
        <v>403106</v>
      </c>
      <c r="L164" s="60">
        <v>600000</v>
      </c>
      <c r="M164" s="46">
        <v>444192.84</v>
      </c>
      <c r="N164" s="46">
        <v>450000</v>
      </c>
      <c r="O164" s="45">
        <v>444119.84</v>
      </c>
      <c r="P164" s="45">
        <v>600000</v>
      </c>
      <c r="Q164" s="45">
        <v>599424</v>
      </c>
      <c r="R164" s="45" t="e">
        <f>#REF!</f>
        <v>#REF!</v>
      </c>
      <c r="S164" s="45">
        <v>400000</v>
      </c>
      <c r="T164" s="60" t="e">
        <f>#REF!</f>
        <v>#REF!</v>
      </c>
      <c r="U164" s="45">
        <v>400000</v>
      </c>
    </row>
    <row r="165" spans="1:21">
      <c r="A165" s="146" t="s">
        <v>63</v>
      </c>
      <c r="B165" s="147" t="s">
        <v>395</v>
      </c>
      <c r="C165" s="148">
        <f t="shared" ref="C165:U165" si="29">SUM(C166:C169)</f>
        <v>2658079</v>
      </c>
      <c r="D165" s="148">
        <f t="shared" si="29"/>
        <v>2546496</v>
      </c>
      <c r="E165" s="148">
        <f t="shared" si="29"/>
        <v>3934180</v>
      </c>
      <c r="F165" s="148">
        <f t="shared" si="29"/>
        <v>3319040</v>
      </c>
      <c r="G165" s="148">
        <f t="shared" si="29"/>
        <v>100000</v>
      </c>
      <c r="H165" s="148">
        <f t="shared" si="29"/>
        <v>99527.5</v>
      </c>
      <c r="I165" s="149">
        <f t="shared" si="29"/>
        <v>100000</v>
      </c>
      <c r="J165" s="149">
        <f t="shared" si="29"/>
        <v>96050</v>
      </c>
      <c r="K165" s="149">
        <f t="shared" si="29"/>
        <v>97850</v>
      </c>
      <c r="L165" s="149">
        <f t="shared" si="29"/>
        <v>200000</v>
      </c>
      <c r="M165" s="149">
        <f t="shared" si="29"/>
        <v>99850</v>
      </c>
      <c r="N165" s="149">
        <f t="shared" si="29"/>
        <v>100000</v>
      </c>
      <c r="O165" s="149">
        <f t="shared" si="29"/>
        <v>99850</v>
      </c>
      <c r="P165" s="149">
        <f t="shared" si="29"/>
        <v>200000</v>
      </c>
      <c r="Q165" s="149">
        <f t="shared" si="29"/>
        <v>154960</v>
      </c>
      <c r="R165" s="149" t="e">
        <f t="shared" si="29"/>
        <v>#REF!</v>
      </c>
      <c r="S165" s="149">
        <f t="shared" si="29"/>
        <v>200000</v>
      </c>
      <c r="T165" s="149" t="e">
        <f t="shared" si="29"/>
        <v>#REF!</v>
      </c>
      <c r="U165" s="150">
        <f t="shared" si="29"/>
        <v>100000</v>
      </c>
    </row>
    <row r="166" spans="1:21" hidden="1">
      <c r="A166" s="37" t="s">
        <v>64</v>
      </c>
      <c r="B166" s="38" t="s">
        <v>149</v>
      </c>
      <c r="C166" s="59">
        <v>1144399</v>
      </c>
      <c r="D166" s="59">
        <v>2153837</v>
      </c>
      <c r="E166" s="59">
        <v>3908330</v>
      </c>
      <c r="F166" s="59">
        <v>3222620</v>
      </c>
      <c r="G166" s="59">
        <v>0</v>
      </c>
      <c r="H166" s="59">
        <v>0</v>
      </c>
      <c r="I166" s="60">
        <v>0</v>
      </c>
      <c r="J166" s="60">
        <v>0</v>
      </c>
      <c r="K166" s="60"/>
      <c r="L166" s="60"/>
      <c r="M166" s="25"/>
      <c r="N166" s="25"/>
      <c r="O166" s="25"/>
      <c r="P166" s="25"/>
      <c r="Q166" s="25"/>
      <c r="R166" s="25"/>
      <c r="S166" s="25"/>
      <c r="T166" s="55"/>
      <c r="U166" s="45"/>
    </row>
    <row r="167" spans="1:21" ht="36" hidden="1">
      <c r="A167" s="37" t="s">
        <v>65</v>
      </c>
      <c r="B167" s="38" t="s">
        <v>66</v>
      </c>
      <c r="C167" s="59"/>
      <c r="D167" s="59"/>
      <c r="E167" s="59"/>
      <c r="F167" s="59"/>
      <c r="G167" s="59">
        <v>0</v>
      </c>
      <c r="H167" s="59">
        <v>0</v>
      </c>
      <c r="I167" s="60">
        <v>0</v>
      </c>
      <c r="J167" s="60">
        <v>0</v>
      </c>
      <c r="K167" s="60"/>
      <c r="L167" s="60"/>
      <c r="M167" s="25"/>
      <c r="N167" s="25"/>
      <c r="O167" s="25"/>
      <c r="P167" s="25"/>
      <c r="Q167" s="25"/>
      <c r="R167" s="25"/>
      <c r="S167" s="25"/>
      <c r="T167" s="55"/>
      <c r="U167" s="45"/>
    </row>
    <row r="168" spans="1:21" hidden="1">
      <c r="A168" s="37" t="s">
        <v>68</v>
      </c>
      <c r="B168" s="38" t="s">
        <v>150</v>
      </c>
      <c r="C168" s="59"/>
      <c r="D168" s="59"/>
      <c r="E168" s="59"/>
      <c r="F168" s="59"/>
      <c r="G168" s="59">
        <v>0</v>
      </c>
      <c r="H168" s="59">
        <v>0</v>
      </c>
      <c r="I168" s="60"/>
      <c r="J168" s="60">
        <v>0</v>
      </c>
      <c r="K168" s="60"/>
      <c r="L168" s="60"/>
      <c r="M168" s="25"/>
      <c r="N168" s="25"/>
      <c r="O168" s="25"/>
      <c r="P168" s="25"/>
      <c r="Q168" s="25"/>
      <c r="R168" s="25"/>
      <c r="S168" s="25"/>
      <c r="T168" s="55"/>
      <c r="U168" s="45"/>
    </row>
    <row r="169" spans="1:21" ht="36">
      <c r="A169" s="37" t="s">
        <v>73</v>
      </c>
      <c r="B169" s="38" t="s">
        <v>157</v>
      </c>
      <c r="C169" s="59">
        <v>1513680</v>
      </c>
      <c r="D169" s="59">
        <v>392659</v>
      </c>
      <c r="E169" s="59">
        <v>25850</v>
      </c>
      <c r="F169" s="59">
        <v>96420</v>
      </c>
      <c r="G169" s="59">
        <v>100000</v>
      </c>
      <c r="H169" s="59">
        <v>99527.5</v>
      </c>
      <c r="I169" s="60">
        <v>100000</v>
      </c>
      <c r="J169" s="11">
        <v>96050</v>
      </c>
      <c r="K169" s="11">
        <v>97850</v>
      </c>
      <c r="L169" s="60">
        <v>200000</v>
      </c>
      <c r="M169" s="46">
        <v>99850</v>
      </c>
      <c r="N169" s="46">
        <v>100000</v>
      </c>
      <c r="O169" s="45">
        <v>99850</v>
      </c>
      <c r="P169" s="45">
        <v>200000</v>
      </c>
      <c r="Q169" s="45">
        <v>154960</v>
      </c>
      <c r="R169" s="45" t="e">
        <f>#REF!</f>
        <v>#REF!</v>
      </c>
      <c r="S169" s="45">
        <v>200000</v>
      </c>
      <c r="T169" s="60" t="e">
        <f>#REF!</f>
        <v>#REF!</v>
      </c>
      <c r="U169" s="45">
        <v>100000</v>
      </c>
    </row>
    <row r="170" spans="1:21">
      <c r="A170" s="146" t="s">
        <v>75</v>
      </c>
      <c r="B170" s="147" t="s">
        <v>76</v>
      </c>
      <c r="C170" s="148">
        <f t="shared" ref="C170:Q170" si="30">SUM(C171:C180)</f>
        <v>174736</v>
      </c>
      <c r="D170" s="148">
        <f t="shared" si="30"/>
        <v>894583</v>
      </c>
      <c r="E170" s="148">
        <f t="shared" si="30"/>
        <v>140339</v>
      </c>
      <c r="F170" s="148">
        <f t="shared" si="30"/>
        <v>150205</v>
      </c>
      <c r="G170" s="148">
        <f t="shared" si="30"/>
        <v>185000</v>
      </c>
      <c r="H170" s="148">
        <f t="shared" si="30"/>
        <v>165119</v>
      </c>
      <c r="I170" s="149">
        <f t="shared" si="30"/>
        <v>475000</v>
      </c>
      <c r="J170" s="149">
        <f t="shared" si="30"/>
        <v>102600</v>
      </c>
      <c r="K170" s="149">
        <f t="shared" si="30"/>
        <v>115700</v>
      </c>
      <c r="L170" s="149">
        <f t="shared" si="30"/>
        <v>1550000</v>
      </c>
      <c r="M170" s="149">
        <f t="shared" si="30"/>
        <v>256115</v>
      </c>
      <c r="N170" s="149">
        <f t="shared" si="30"/>
        <v>305000</v>
      </c>
      <c r="O170" s="149">
        <f t="shared" si="30"/>
        <v>293195</v>
      </c>
      <c r="P170" s="149">
        <f t="shared" si="30"/>
        <v>1650000</v>
      </c>
      <c r="Q170" s="149">
        <f t="shared" si="30"/>
        <v>1062824</v>
      </c>
      <c r="R170" s="149" t="e">
        <f>SUM(R171:R180)</f>
        <v>#REF!</v>
      </c>
      <c r="S170" s="149">
        <f>SUM(S171:S180)</f>
        <v>1650000</v>
      </c>
      <c r="T170" s="149" t="e">
        <f>SUM(T171:T180)</f>
        <v>#REF!</v>
      </c>
      <c r="U170" s="151">
        <f>SUM(U171:U180)</f>
        <v>1650000</v>
      </c>
    </row>
    <row r="171" spans="1:21">
      <c r="A171" s="37" t="s">
        <v>77</v>
      </c>
      <c r="B171" s="38" t="s">
        <v>78</v>
      </c>
      <c r="C171" s="59"/>
      <c r="D171" s="59"/>
      <c r="E171" s="59"/>
      <c r="F171" s="59"/>
      <c r="G171" s="59">
        <v>0</v>
      </c>
      <c r="H171" s="59">
        <v>0</v>
      </c>
      <c r="I171" s="60">
        <v>0</v>
      </c>
      <c r="J171" s="60">
        <v>0</v>
      </c>
      <c r="K171" s="60"/>
      <c r="L171" s="60"/>
      <c r="M171" s="25"/>
      <c r="N171" s="25"/>
      <c r="O171" s="25"/>
      <c r="P171" s="25"/>
      <c r="Q171" s="25"/>
      <c r="R171" s="25"/>
      <c r="S171" s="25"/>
      <c r="T171" s="55"/>
      <c r="U171" s="45"/>
    </row>
    <row r="172" spans="1:21">
      <c r="A172" s="37" t="s">
        <v>79</v>
      </c>
      <c r="B172" s="38" t="s">
        <v>151</v>
      </c>
      <c r="C172" s="59"/>
      <c r="D172" s="59"/>
      <c r="E172" s="59"/>
      <c r="F172" s="59"/>
      <c r="G172" s="59">
        <v>0</v>
      </c>
      <c r="H172" s="59">
        <v>0</v>
      </c>
      <c r="I172" s="60">
        <v>0</v>
      </c>
      <c r="J172" s="60">
        <v>0</v>
      </c>
      <c r="K172" s="60"/>
      <c r="L172" s="60"/>
      <c r="M172" s="25"/>
      <c r="N172" s="25"/>
      <c r="O172" s="25"/>
      <c r="P172" s="25"/>
      <c r="Q172" s="25"/>
      <c r="R172" s="25"/>
      <c r="S172" s="25"/>
      <c r="T172" s="55"/>
      <c r="U172" s="45"/>
    </row>
    <row r="173" spans="1:21">
      <c r="A173" s="37" t="s">
        <v>80</v>
      </c>
      <c r="B173" s="38" t="s">
        <v>81</v>
      </c>
      <c r="C173" s="59">
        <v>49030</v>
      </c>
      <c r="D173" s="59">
        <v>48843</v>
      </c>
      <c r="E173" s="59">
        <v>42065</v>
      </c>
      <c r="F173" s="59">
        <v>54705</v>
      </c>
      <c r="G173" s="59">
        <v>60000</v>
      </c>
      <c r="H173" s="59">
        <v>55810</v>
      </c>
      <c r="I173" s="60">
        <v>75000</v>
      </c>
      <c r="J173" s="11">
        <v>2600</v>
      </c>
      <c r="K173" s="11">
        <v>10700</v>
      </c>
      <c r="L173" s="60">
        <v>100000</v>
      </c>
      <c r="M173" s="46">
        <v>51115</v>
      </c>
      <c r="N173" s="46">
        <v>80000</v>
      </c>
      <c r="O173" s="45">
        <v>76695</v>
      </c>
      <c r="P173" s="45">
        <v>100000</v>
      </c>
      <c r="Q173" s="45">
        <v>75854</v>
      </c>
      <c r="R173" s="45" t="e">
        <f>#REF!</f>
        <v>#REF!</v>
      </c>
      <c r="S173" s="45">
        <v>100000</v>
      </c>
      <c r="T173" s="55" t="e">
        <f>#REF!</f>
        <v>#REF!</v>
      </c>
      <c r="U173" s="45">
        <v>100000</v>
      </c>
    </row>
    <row r="174" spans="1:21">
      <c r="A174" s="37" t="s">
        <v>82</v>
      </c>
      <c r="B174" s="38" t="s">
        <v>185</v>
      </c>
      <c r="C174" s="59">
        <v>24952</v>
      </c>
      <c r="D174" s="59">
        <v>47310</v>
      </c>
      <c r="E174" s="59">
        <v>98274</v>
      </c>
      <c r="F174" s="59">
        <v>95500</v>
      </c>
      <c r="G174" s="59">
        <v>125000</v>
      </c>
      <c r="H174" s="59">
        <v>109309</v>
      </c>
      <c r="I174" s="60">
        <v>200000</v>
      </c>
      <c r="J174" s="11">
        <v>100000</v>
      </c>
      <c r="K174" s="11">
        <v>105000</v>
      </c>
      <c r="L174" s="60">
        <v>250000</v>
      </c>
      <c r="M174" s="46">
        <v>205000</v>
      </c>
      <c r="N174" s="46">
        <v>225000</v>
      </c>
      <c r="O174" s="45">
        <v>216500</v>
      </c>
      <c r="P174" s="45">
        <v>350000</v>
      </c>
      <c r="Q174" s="45">
        <v>223879</v>
      </c>
      <c r="R174" s="45" t="e">
        <f>#REF!</f>
        <v>#REF!</v>
      </c>
      <c r="S174" s="45">
        <v>350000</v>
      </c>
      <c r="T174" s="55" t="e">
        <f>#REF!</f>
        <v>#REF!</v>
      </c>
      <c r="U174" s="45">
        <v>350000</v>
      </c>
    </row>
    <row r="175" spans="1:21">
      <c r="A175" s="37" t="s">
        <v>83</v>
      </c>
      <c r="B175" s="38" t="s">
        <v>84</v>
      </c>
      <c r="C175" s="59">
        <v>100754</v>
      </c>
      <c r="D175" s="59">
        <f>649327+149103</f>
        <v>798430</v>
      </c>
      <c r="E175" s="59"/>
      <c r="F175" s="59"/>
      <c r="G175" s="59">
        <v>0</v>
      </c>
      <c r="H175" s="59">
        <v>0</v>
      </c>
      <c r="I175" s="60">
        <v>0</v>
      </c>
      <c r="J175" s="60">
        <v>0</v>
      </c>
      <c r="K175" s="60"/>
      <c r="L175" s="60"/>
      <c r="M175" s="25"/>
      <c r="N175" s="25"/>
      <c r="O175" s="25"/>
      <c r="P175" s="25"/>
      <c r="Q175" s="25"/>
      <c r="R175" s="45" t="e">
        <f>#REF!</f>
        <v>#REF!</v>
      </c>
      <c r="S175" s="45">
        <v>0</v>
      </c>
      <c r="T175" s="55">
        <v>0</v>
      </c>
      <c r="U175" s="45">
        <v>0</v>
      </c>
    </row>
    <row r="176" spans="1:21">
      <c r="A176" s="37" t="s">
        <v>85</v>
      </c>
      <c r="B176" s="38" t="s">
        <v>144</v>
      </c>
      <c r="C176" s="59"/>
      <c r="D176" s="59"/>
      <c r="E176" s="59"/>
      <c r="F176" s="59"/>
      <c r="G176" s="59">
        <v>0</v>
      </c>
      <c r="H176" s="59">
        <v>0</v>
      </c>
      <c r="I176" s="60">
        <v>0</v>
      </c>
      <c r="J176" s="60">
        <v>0</v>
      </c>
      <c r="K176" s="60"/>
      <c r="L176" s="60"/>
      <c r="M176" s="25"/>
      <c r="N176" s="25"/>
      <c r="O176" s="25"/>
      <c r="P176" s="25"/>
      <c r="Q176" s="45">
        <v>0</v>
      </c>
      <c r="R176" s="45" t="e">
        <f>#REF!</f>
        <v>#REF!</v>
      </c>
      <c r="S176" s="45">
        <v>200000</v>
      </c>
      <c r="T176" s="55" t="e">
        <f>#REF!</f>
        <v>#REF!</v>
      </c>
      <c r="U176" s="45">
        <v>200000</v>
      </c>
    </row>
    <row r="177" spans="1:21">
      <c r="A177" s="37" t="s">
        <v>86</v>
      </c>
      <c r="B177" s="38" t="s">
        <v>143</v>
      </c>
      <c r="C177" s="59"/>
      <c r="D177" s="59"/>
      <c r="E177" s="59"/>
      <c r="F177" s="59"/>
      <c r="G177" s="59">
        <v>0</v>
      </c>
      <c r="H177" s="59">
        <v>0</v>
      </c>
      <c r="I177" s="60">
        <v>0</v>
      </c>
      <c r="J177" s="60">
        <v>0</v>
      </c>
      <c r="K177" s="60"/>
      <c r="L177" s="60">
        <v>950000</v>
      </c>
      <c r="M177" s="25"/>
      <c r="N177" s="25"/>
      <c r="O177" s="25"/>
      <c r="P177" s="45">
        <v>950000</v>
      </c>
      <c r="Q177" s="45">
        <v>763091</v>
      </c>
      <c r="R177" s="45" t="e">
        <f>#REF!</f>
        <v>#REF!</v>
      </c>
      <c r="S177" s="45">
        <v>750000</v>
      </c>
      <c r="T177" s="55" t="e">
        <f>#REF!</f>
        <v>#REF!</v>
      </c>
      <c r="U177" s="45">
        <v>750000</v>
      </c>
    </row>
    <row r="178" spans="1:21">
      <c r="A178" s="37" t="s">
        <v>87</v>
      </c>
      <c r="B178" s="38" t="s">
        <v>189</v>
      </c>
      <c r="C178" s="59"/>
      <c r="D178" s="59"/>
      <c r="E178" s="59"/>
      <c r="F178" s="59"/>
      <c r="G178" s="59">
        <v>0</v>
      </c>
      <c r="H178" s="59">
        <v>0</v>
      </c>
      <c r="I178" s="60">
        <v>0</v>
      </c>
      <c r="J178" s="60">
        <v>0</v>
      </c>
      <c r="K178" s="60"/>
      <c r="L178" s="60"/>
      <c r="M178" s="25"/>
      <c r="N178" s="25"/>
      <c r="O178" s="25"/>
      <c r="P178" s="25"/>
      <c r="Q178" s="45">
        <v>0</v>
      </c>
      <c r="R178" s="45" t="e">
        <f>#REF!</f>
        <v>#REF!</v>
      </c>
      <c r="S178" s="45">
        <v>0</v>
      </c>
      <c r="T178" s="55" t="e">
        <f>#REF!</f>
        <v>#REF!</v>
      </c>
      <c r="U178" s="45">
        <v>0</v>
      </c>
    </row>
    <row r="179" spans="1:21">
      <c r="A179" s="37" t="s">
        <v>145</v>
      </c>
      <c r="B179" s="38" t="s">
        <v>146</v>
      </c>
      <c r="C179" s="59"/>
      <c r="D179" s="59"/>
      <c r="E179" s="59"/>
      <c r="F179" s="59"/>
      <c r="G179" s="59">
        <v>0</v>
      </c>
      <c r="H179" s="59">
        <v>0</v>
      </c>
      <c r="I179" s="60"/>
      <c r="J179" s="60">
        <v>0</v>
      </c>
      <c r="K179" s="60"/>
      <c r="L179" s="60"/>
      <c r="M179" s="25"/>
      <c r="N179" s="25"/>
      <c r="O179" s="25"/>
      <c r="P179" s="25"/>
      <c r="Q179" s="45">
        <v>0</v>
      </c>
      <c r="R179" s="45" t="e">
        <f>#REF!</f>
        <v>#REF!</v>
      </c>
      <c r="S179" s="45">
        <v>0</v>
      </c>
      <c r="T179" s="55" t="e">
        <f>#REF!</f>
        <v>#REF!</v>
      </c>
      <c r="U179" s="45">
        <v>0</v>
      </c>
    </row>
    <row r="180" spans="1:21">
      <c r="A180" s="37" t="s">
        <v>147</v>
      </c>
      <c r="B180" s="38" t="s">
        <v>148</v>
      </c>
      <c r="C180" s="59"/>
      <c r="D180" s="59"/>
      <c r="E180" s="59"/>
      <c r="F180" s="59"/>
      <c r="G180" s="59">
        <v>0</v>
      </c>
      <c r="H180" s="59">
        <v>0</v>
      </c>
      <c r="I180" s="60">
        <v>200000</v>
      </c>
      <c r="J180" s="60">
        <v>0</v>
      </c>
      <c r="K180" s="60"/>
      <c r="L180" s="60">
        <v>250000</v>
      </c>
      <c r="M180" s="25"/>
      <c r="N180" s="25"/>
      <c r="O180" s="25"/>
      <c r="P180" s="45">
        <v>250000</v>
      </c>
      <c r="Q180" s="45">
        <v>0</v>
      </c>
      <c r="R180" s="45" t="e">
        <f>#REF!</f>
        <v>#REF!</v>
      </c>
      <c r="S180" s="45">
        <v>250000</v>
      </c>
      <c r="T180" s="55" t="e">
        <f>#REF!</f>
        <v>#REF!</v>
      </c>
      <c r="U180" s="45">
        <v>250000</v>
      </c>
    </row>
    <row r="181" spans="1:21">
      <c r="A181" s="35" t="s">
        <v>88</v>
      </c>
      <c r="B181" s="39" t="s">
        <v>89</v>
      </c>
      <c r="C181" s="58"/>
      <c r="D181" s="58"/>
      <c r="E181" s="58"/>
      <c r="F181" s="58"/>
      <c r="G181" s="58">
        <v>200000</v>
      </c>
      <c r="H181" s="58">
        <v>196844</v>
      </c>
      <c r="I181" s="55">
        <v>150000</v>
      </c>
      <c r="J181" s="24">
        <v>27000</v>
      </c>
      <c r="K181" s="24">
        <v>52200</v>
      </c>
      <c r="L181" s="55">
        <v>250000</v>
      </c>
      <c r="M181" s="99">
        <v>169630</v>
      </c>
      <c r="N181" s="99">
        <v>175000</v>
      </c>
      <c r="O181" s="65">
        <v>169630</v>
      </c>
      <c r="P181" s="65">
        <v>350000</v>
      </c>
      <c r="Q181" s="65">
        <v>346304</v>
      </c>
      <c r="R181" s="65" t="e">
        <f>#REF!</f>
        <v>#REF!</v>
      </c>
      <c r="S181" s="65">
        <v>350000</v>
      </c>
      <c r="T181" s="55" t="e">
        <f>#REF!</f>
        <v>#REF!</v>
      </c>
      <c r="U181" s="65">
        <v>350000</v>
      </c>
    </row>
    <row r="182" spans="1:21">
      <c r="A182" s="35" t="s">
        <v>90</v>
      </c>
      <c r="B182" s="39" t="s">
        <v>91</v>
      </c>
      <c r="C182" s="58">
        <f t="shared" ref="C182:U182" si="31">SUM(C183:C184)</f>
        <v>1000000</v>
      </c>
      <c r="D182" s="58">
        <f t="shared" si="31"/>
        <v>1000000</v>
      </c>
      <c r="E182" s="58">
        <f t="shared" si="31"/>
        <v>1000000</v>
      </c>
      <c r="F182" s="58">
        <f t="shared" si="31"/>
        <v>500000</v>
      </c>
      <c r="G182" s="58">
        <f t="shared" si="31"/>
        <v>950000</v>
      </c>
      <c r="H182" s="58">
        <f t="shared" si="31"/>
        <v>937286.77</v>
      </c>
      <c r="I182" s="55">
        <f t="shared" si="31"/>
        <v>2500000</v>
      </c>
      <c r="J182" s="55">
        <f t="shared" si="31"/>
        <v>0</v>
      </c>
      <c r="K182" s="55">
        <f t="shared" si="31"/>
        <v>0</v>
      </c>
      <c r="L182" s="55">
        <f t="shared" si="31"/>
        <v>2500000</v>
      </c>
      <c r="M182" s="55">
        <f t="shared" si="31"/>
        <v>977892.86</v>
      </c>
      <c r="N182" s="55">
        <f t="shared" si="31"/>
        <v>2500000</v>
      </c>
      <c r="O182" s="55">
        <f t="shared" si="31"/>
        <v>2356580.16</v>
      </c>
      <c r="P182" s="55">
        <f t="shared" si="31"/>
        <v>3000000</v>
      </c>
      <c r="Q182" s="55">
        <f t="shared" si="31"/>
        <v>4646793.79</v>
      </c>
      <c r="R182" s="55" t="e">
        <f t="shared" si="31"/>
        <v>#REF!</v>
      </c>
      <c r="S182" s="55">
        <f t="shared" si="31"/>
        <v>5000000</v>
      </c>
      <c r="T182" s="55" t="e">
        <f t="shared" si="31"/>
        <v>#REF!</v>
      </c>
      <c r="U182" s="65">
        <f t="shared" si="31"/>
        <v>5000000</v>
      </c>
    </row>
    <row r="183" spans="1:21">
      <c r="A183" s="37" t="s">
        <v>92</v>
      </c>
      <c r="B183" s="38" t="s">
        <v>93</v>
      </c>
      <c r="C183" s="59"/>
      <c r="D183" s="59"/>
      <c r="E183" s="59"/>
      <c r="F183" s="59"/>
      <c r="G183" s="59">
        <v>0</v>
      </c>
      <c r="H183" s="59">
        <v>0</v>
      </c>
      <c r="I183" s="60"/>
      <c r="J183" s="60">
        <v>0</v>
      </c>
      <c r="K183" s="60"/>
      <c r="L183" s="60"/>
      <c r="M183" s="25"/>
      <c r="N183" s="25"/>
      <c r="O183" s="25"/>
      <c r="P183" s="25"/>
      <c r="Q183" s="25"/>
      <c r="R183" s="25"/>
      <c r="S183" s="25"/>
      <c r="T183" s="55"/>
      <c r="U183" s="45"/>
    </row>
    <row r="184" spans="1:21">
      <c r="A184" s="37" t="s">
        <v>94</v>
      </c>
      <c r="B184" s="38" t="s">
        <v>95</v>
      </c>
      <c r="C184" s="59">
        <v>1000000</v>
      </c>
      <c r="D184" s="59">
        <v>1000000</v>
      </c>
      <c r="E184" s="59">
        <v>1000000</v>
      </c>
      <c r="F184" s="59">
        <v>500000</v>
      </c>
      <c r="G184" s="59">
        <v>950000</v>
      </c>
      <c r="H184" s="59">
        <v>937286.77</v>
      </c>
      <c r="I184" s="60">
        <v>2500000</v>
      </c>
      <c r="J184" s="60">
        <v>0</v>
      </c>
      <c r="K184" s="60"/>
      <c r="L184" s="60">
        <v>2500000</v>
      </c>
      <c r="M184" s="60">
        <v>977892.86</v>
      </c>
      <c r="N184" s="60">
        <v>2500000</v>
      </c>
      <c r="O184" s="45">
        <v>2356580.16</v>
      </c>
      <c r="P184" s="45">
        <v>3000000</v>
      </c>
      <c r="Q184" s="45">
        <v>4646793.79</v>
      </c>
      <c r="R184" s="45" t="e">
        <f>#REF!</f>
        <v>#REF!</v>
      </c>
      <c r="S184" s="45">
        <v>5000000</v>
      </c>
      <c r="T184" s="55" t="e">
        <f>#REF!</f>
        <v>#REF!</v>
      </c>
      <c r="U184" s="45">
        <v>5000000</v>
      </c>
    </row>
    <row r="185" spans="1:21">
      <c r="A185" s="35">
        <v>12</v>
      </c>
      <c r="B185" s="39" t="s">
        <v>96</v>
      </c>
      <c r="C185" s="58">
        <v>1266400</v>
      </c>
      <c r="D185" s="58">
        <v>2239888</v>
      </c>
      <c r="E185" s="58">
        <v>22413</v>
      </c>
      <c r="F185" s="58">
        <v>920008.92</v>
      </c>
      <c r="G185" s="58">
        <v>50000</v>
      </c>
      <c r="H185" s="58">
        <v>6500</v>
      </c>
      <c r="I185" s="55">
        <v>350000</v>
      </c>
      <c r="J185" s="11">
        <v>49064</v>
      </c>
      <c r="K185" s="85">
        <v>49064</v>
      </c>
      <c r="L185" s="55">
        <v>450000</v>
      </c>
      <c r="M185" s="46">
        <v>547651</v>
      </c>
      <c r="N185" s="46">
        <v>350000</v>
      </c>
      <c r="O185" s="45">
        <v>310000</v>
      </c>
      <c r="P185" s="65">
        <v>650000</v>
      </c>
      <c r="Q185" s="65">
        <v>1602914</v>
      </c>
      <c r="R185" s="65" t="e">
        <f>#REF!</f>
        <v>#REF!</v>
      </c>
      <c r="S185" s="65">
        <v>1600000</v>
      </c>
      <c r="T185" s="55" t="e">
        <f>#REF!</f>
        <v>#REF!</v>
      </c>
      <c r="U185" s="65">
        <v>300000</v>
      </c>
    </row>
    <row r="186" spans="1:21">
      <c r="A186" s="35">
        <v>2</v>
      </c>
      <c r="B186" s="100" t="s">
        <v>155</v>
      </c>
      <c r="C186" s="58">
        <f t="shared" ref="C186:Q186" si="32">C187+C190+C342</f>
        <v>50274527.120000005</v>
      </c>
      <c r="D186" s="58">
        <f t="shared" si="32"/>
        <v>81988975.599999994</v>
      </c>
      <c r="E186" s="58">
        <f t="shared" si="32"/>
        <v>71945121.109999999</v>
      </c>
      <c r="F186" s="58">
        <f t="shared" si="32"/>
        <v>89130104.530000001</v>
      </c>
      <c r="G186" s="58">
        <f t="shared" si="32"/>
        <v>108523696.62</v>
      </c>
      <c r="H186" s="58">
        <f t="shared" si="32"/>
        <v>75200123.939999998</v>
      </c>
      <c r="I186" s="55">
        <f t="shared" si="32"/>
        <v>157313042.63999999</v>
      </c>
      <c r="J186" s="55">
        <f t="shared" si="32"/>
        <v>19819182</v>
      </c>
      <c r="K186" s="55">
        <f t="shared" si="32"/>
        <v>22367945</v>
      </c>
      <c r="L186" s="55">
        <f t="shared" si="32"/>
        <v>53606896</v>
      </c>
      <c r="M186" s="55">
        <f t="shared" si="32"/>
        <v>72308747.700000003</v>
      </c>
      <c r="N186" s="55">
        <f t="shared" si="32"/>
        <v>137599214.16</v>
      </c>
      <c r="O186" s="55">
        <f t="shared" si="32"/>
        <v>127566758.73</v>
      </c>
      <c r="P186" s="55">
        <f t="shared" si="32"/>
        <v>152019878.63</v>
      </c>
      <c r="Q186" s="55">
        <f t="shared" si="32"/>
        <v>119626450.73</v>
      </c>
      <c r="R186" s="55" t="e">
        <f>R187+R190+R195+R309+R324+R325+R342</f>
        <v>#REF!</v>
      </c>
      <c r="S186" s="55">
        <f>S182+S187+S190+S195+S309+S324+S325+S342</f>
        <v>162395660.65000001</v>
      </c>
      <c r="T186" s="55" t="e">
        <f>T187+T190+T342</f>
        <v>#REF!</v>
      </c>
      <c r="U186" s="65">
        <f>U182+U187+U190+U195+U309+U324+U325+U342</f>
        <v>107788950</v>
      </c>
    </row>
    <row r="187" spans="1:21">
      <c r="A187" s="146">
        <v>5</v>
      </c>
      <c r="B187" s="147" t="s">
        <v>97</v>
      </c>
      <c r="C187" s="148">
        <f t="shared" ref="C187:T187" si="33">SUM(C188:C189)</f>
        <v>364500</v>
      </c>
      <c r="D187" s="148">
        <f t="shared" si="33"/>
        <v>0</v>
      </c>
      <c r="E187" s="148">
        <f t="shared" si="33"/>
        <v>0</v>
      </c>
      <c r="F187" s="148">
        <f t="shared" si="33"/>
        <v>19255</v>
      </c>
      <c r="G187" s="152">
        <f t="shared" si="33"/>
        <v>0</v>
      </c>
      <c r="H187" s="148">
        <f t="shared" si="33"/>
        <v>0</v>
      </c>
      <c r="I187" s="149">
        <f t="shared" si="33"/>
        <v>14625000</v>
      </c>
      <c r="J187" s="149">
        <f t="shared" si="33"/>
        <v>0</v>
      </c>
      <c r="K187" s="149">
        <f t="shared" si="33"/>
        <v>0</v>
      </c>
      <c r="L187" s="149">
        <f t="shared" si="33"/>
        <v>19500000</v>
      </c>
      <c r="M187" s="149">
        <f t="shared" si="33"/>
        <v>12117000</v>
      </c>
      <c r="N187" s="149">
        <f t="shared" si="33"/>
        <v>14320000</v>
      </c>
      <c r="O187" s="149">
        <f t="shared" si="33"/>
        <v>14317000</v>
      </c>
      <c r="P187" s="149">
        <f t="shared" si="33"/>
        <v>14500000</v>
      </c>
      <c r="Q187" s="149">
        <f t="shared" si="33"/>
        <v>19500000</v>
      </c>
      <c r="R187" s="149" t="e">
        <f t="shared" si="33"/>
        <v>#REF!</v>
      </c>
      <c r="S187" s="149">
        <f t="shared" si="33"/>
        <v>3000000</v>
      </c>
      <c r="T187" s="149" t="e">
        <f t="shared" si="33"/>
        <v>#REF!</v>
      </c>
      <c r="U187" s="151"/>
    </row>
    <row r="188" spans="1:21">
      <c r="A188" s="37" t="s">
        <v>98</v>
      </c>
      <c r="B188" s="38" t="s">
        <v>99</v>
      </c>
      <c r="C188" s="59">
        <v>364500</v>
      </c>
      <c r="D188" s="59"/>
      <c r="E188" s="59"/>
      <c r="F188" s="59">
        <v>19255</v>
      </c>
      <c r="G188" s="59">
        <v>0</v>
      </c>
      <c r="H188" s="59">
        <v>0</v>
      </c>
      <c r="I188" s="60">
        <v>14625000</v>
      </c>
      <c r="J188" s="60">
        <v>0</v>
      </c>
      <c r="K188" s="60"/>
      <c r="L188" s="60">
        <v>19500000</v>
      </c>
      <c r="M188" s="46">
        <v>12117000</v>
      </c>
      <c r="N188" s="46">
        <v>14320000</v>
      </c>
      <c r="O188" s="45">
        <v>14317000</v>
      </c>
      <c r="P188" s="45">
        <v>14500000</v>
      </c>
      <c r="Q188" s="45">
        <v>19500000</v>
      </c>
      <c r="R188" s="45" t="e">
        <f>#REF!</f>
        <v>#REF!</v>
      </c>
      <c r="S188" s="45">
        <v>3000000</v>
      </c>
      <c r="T188" s="60" t="e">
        <f>#REF!</f>
        <v>#REF!</v>
      </c>
      <c r="U188" s="45">
        <v>0</v>
      </c>
    </row>
    <row r="189" spans="1:21">
      <c r="A189" s="37" t="s">
        <v>100</v>
      </c>
      <c r="B189" s="38" t="s">
        <v>101</v>
      </c>
      <c r="C189" s="59"/>
      <c r="D189" s="59"/>
      <c r="E189" s="59"/>
      <c r="F189" s="59"/>
      <c r="G189" s="59">
        <v>0</v>
      </c>
      <c r="H189" s="59">
        <v>0</v>
      </c>
      <c r="I189" s="60">
        <v>0</v>
      </c>
      <c r="J189" s="60">
        <v>0</v>
      </c>
      <c r="K189" s="60"/>
      <c r="L189" s="60">
        <v>0</v>
      </c>
      <c r="M189" s="25"/>
      <c r="N189" s="25"/>
      <c r="O189" s="25"/>
      <c r="P189" s="25">
        <v>0</v>
      </c>
      <c r="Q189" s="61">
        <v>0</v>
      </c>
      <c r="R189" s="45" t="e">
        <f>#REF!</f>
        <v>#REF!</v>
      </c>
      <c r="S189" s="45"/>
      <c r="T189" s="60" t="e">
        <f>#REF!</f>
        <v>#REF!</v>
      </c>
      <c r="U189" s="45">
        <v>0</v>
      </c>
    </row>
    <row r="190" spans="1:21" ht="18">
      <c r="A190" s="146">
        <v>6</v>
      </c>
      <c r="B190" s="147" t="s">
        <v>102</v>
      </c>
      <c r="C190" s="148">
        <f t="shared" ref="C190:O190" si="34">SUM(C191:C324)</f>
        <v>46910027.120000005</v>
      </c>
      <c r="D190" s="148">
        <f t="shared" si="34"/>
        <v>78988975.599999994</v>
      </c>
      <c r="E190" s="148">
        <f t="shared" si="34"/>
        <v>68945121.109999999</v>
      </c>
      <c r="F190" s="148">
        <f t="shared" si="34"/>
        <v>87610849.530000001</v>
      </c>
      <c r="G190" s="148">
        <f t="shared" si="34"/>
        <v>106023696.62</v>
      </c>
      <c r="H190" s="148">
        <f t="shared" si="34"/>
        <v>72737185.840000004</v>
      </c>
      <c r="I190" s="149">
        <f t="shared" si="34"/>
        <v>140188042.63999999</v>
      </c>
      <c r="J190" s="149">
        <f t="shared" si="34"/>
        <v>19819182</v>
      </c>
      <c r="K190" s="149">
        <f t="shared" si="34"/>
        <v>22367945</v>
      </c>
      <c r="L190" s="149">
        <f t="shared" si="34"/>
        <v>29106896</v>
      </c>
      <c r="M190" s="149">
        <f t="shared" si="34"/>
        <v>59092471.899999999</v>
      </c>
      <c r="N190" s="149">
        <f t="shared" si="34"/>
        <v>120679214.16</v>
      </c>
      <c r="O190" s="149">
        <f t="shared" si="34"/>
        <v>110672936.27000001</v>
      </c>
      <c r="P190" s="149">
        <f>SUM(P191:P325)</f>
        <v>133519878.63</v>
      </c>
      <c r="Q190" s="149">
        <f>SUM(Q191:Q325)</f>
        <v>95089022.5</v>
      </c>
      <c r="R190" s="149" t="e">
        <f>SUM(R191:R194)</f>
        <v>#REF!</v>
      </c>
      <c r="S190" s="149">
        <f>SUM(S191:S194)</f>
        <v>4550000</v>
      </c>
      <c r="T190" s="149" t="e">
        <f>SUM(T191:T325)</f>
        <v>#REF!</v>
      </c>
      <c r="U190" s="149">
        <f>SUM(U191:U194)</f>
        <v>1250000</v>
      </c>
    </row>
    <row r="191" spans="1:21">
      <c r="A191" s="37" t="s">
        <v>103</v>
      </c>
      <c r="B191" s="38" t="s">
        <v>104</v>
      </c>
      <c r="C191" s="59">
        <v>21765</v>
      </c>
      <c r="D191" s="59"/>
      <c r="E191" s="59">
        <v>79776</v>
      </c>
      <c r="F191" s="59">
        <v>73552</v>
      </c>
      <c r="G191" s="59">
        <v>200000</v>
      </c>
      <c r="H191" s="59">
        <v>172364</v>
      </c>
      <c r="I191" s="60">
        <v>200000</v>
      </c>
      <c r="J191" s="11">
        <v>64598</v>
      </c>
      <c r="K191" s="11">
        <v>93098</v>
      </c>
      <c r="L191" s="60">
        <v>350000</v>
      </c>
      <c r="M191" s="47">
        <v>118218</v>
      </c>
      <c r="N191" s="47">
        <v>450000</v>
      </c>
      <c r="O191" s="45">
        <v>448117</v>
      </c>
      <c r="P191" s="45">
        <v>400000</v>
      </c>
      <c r="Q191" s="45">
        <v>148240</v>
      </c>
      <c r="R191" s="45" t="e">
        <f>#REF!</f>
        <v>#REF!</v>
      </c>
      <c r="S191" s="45">
        <v>500000</v>
      </c>
      <c r="T191" s="60" t="e">
        <f>#REF!</f>
        <v>#REF!</v>
      </c>
      <c r="U191" s="45">
        <v>500000</v>
      </c>
    </row>
    <row r="192" spans="1:21">
      <c r="A192" s="37" t="s">
        <v>105</v>
      </c>
      <c r="B192" s="38" t="s">
        <v>406</v>
      </c>
      <c r="C192" s="59">
        <v>98750</v>
      </c>
      <c r="D192" s="59">
        <v>81984</v>
      </c>
      <c r="E192" s="59">
        <v>72122</v>
      </c>
      <c r="F192" s="59">
        <v>72567</v>
      </c>
      <c r="G192" s="59">
        <v>50000</v>
      </c>
      <c r="H192" s="59">
        <v>32896</v>
      </c>
      <c r="I192" s="60">
        <v>50000</v>
      </c>
      <c r="J192" s="11">
        <v>18400</v>
      </c>
      <c r="K192" s="11">
        <v>36400</v>
      </c>
      <c r="L192" s="60">
        <v>150000</v>
      </c>
      <c r="M192" s="47">
        <v>47926</v>
      </c>
      <c r="N192" s="47">
        <v>125000</v>
      </c>
      <c r="O192" s="45">
        <v>110536</v>
      </c>
      <c r="P192" s="45">
        <v>200000</v>
      </c>
      <c r="Q192" s="45">
        <v>136937</v>
      </c>
      <c r="R192" s="45" t="e">
        <f>#REF!</f>
        <v>#REF!</v>
      </c>
      <c r="S192" s="45">
        <v>3500000</v>
      </c>
      <c r="T192" s="60" t="e">
        <f>#REF!</f>
        <v>#REF!</v>
      </c>
      <c r="U192" s="45">
        <v>250000</v>
      </c>
    </row>
    <row r="193" spans="1:23" s="87" customFormat="1">
      <c r="A193" s="40" t="s">
        <v>106</v>
      </c>
      <c r="B193" s="41" t="s">
        <v>107</v>
      </c>
      <c r="C193" s="84">
        <v>304801</v>
      </c>
      <c r="D193" s="84">
        <v>202460</v>
      </c>
      <c r="E193" s="59">
        <v>1142125</v>
      </c>
      <c r="F193" s="59">
        <v>64572</v>
      </c>
      <c r="G193" s="84">
        <v>425000</v>
      </c>
      <c r="H193" s="59">
        <v>396187</v>
      </c>
      <c r="I193" s="60">
        <v>150000</v>
      </c>
      <c r="J193" s="27">
        <v>234843</v>
      </c>
      <c r="K193" s="27">
        <v>234843</v>
      </c>
      <c r="L193" s="60">
        <v>350000</v>
      </c>
      <c r="M193" s="47">
        <v>234843</v>
      </c>
      <c r="N193" s="47">
        <v>550000</v>
      </c>
      <c r="O193" s="45">
        <v>537564</v>
      </c>
      <c r="P193" s="45">
        <v>350000</v>
      </c>
      <c r="Q193" s="45">
        <v>342930</v>
      </c>
      <c r="R193" s="45" t="e">
        <f>#REF!</f>
        <v>#REF!</v>
      </c>
      <c r="S193" s="45">
        <v>550000</v>
      </c>
      <c r="T193" s="60" t="e">
        <f>#REF!</f>
        <v>#REF!</v>
      </c>
      <c r="U193" s="45">
        <v>500000</v>
      </c>
      <c r="V193" s="109"/>
      <c r="W193" s="110"/>
    </row>
    <row r="194" spans="1:23">
      <c r="A194" s="37" t="s">
        <v>108</v>
      </c>
      <c r="B194" s="38" t="s">
        <v>109</v>
      </c>
      <c r="C194" s="59"/>
      <c r="D194" s="59">
        <v>195595</v>
      </c>
      <c r="E194" s="59"/>
      <c r="F194" s="59"/>
      <c r="G194" s="59">
        <v>0</v>
      </c>
      <c r="H194" s="59">
        <v>0</v>
      </c>
      <c r="I194" s="60"/>
      <c r="J194" s="60">
        <v>0</v>
      </c>
      <c r="K194" s="60"/>
      <c r="L194" s="60"/>
      <c r="M194" s="25"/>
      <c r="N194" s="25"/>
      <c r="O194" s="25"/>
      <c r="P194" s="25"/>
      <c r="Q194" s="61">
        <v>0</v>
      </c>
      <c r="R194" s="25"/>
      <c r="S194" s="25"/>
      <c r="T194" s="60" t="e">
        <f>#REF!</f>
        <v>#REF!</v>
      </c>
      <c r="U194" s="45"/>
      <c r="W194" s="111"/>
    </row>
    <row r="195" spans="1:23" ht="36">
      <c r="A195" s="37" t="s">
        <v>110</v>
      </c>
      <c r="B195" s="39" t="s">
        <v>167</v>
      </c>
      <c r="C195" s="2">
        <v>41814999.920000002</v>
      </c>
      <c r="D195" s="58">
        <v>66682960.350000001</v>
      </c>
      <c r="E195" s="58">
        <v>57395011.109999999</v>
      </c>
      <c r="F195" s="58">
        <v>79003175.530000001</v>
      </c>
      <c r="G195" s="58">
        <v>96872696.620000005</v>
      </c>
      <c r="H195" s="58">
        <f>58032161+1657170+4152251.84</f>
        <v>63841582.840000004</v>
      </c>
      <c r="I195" s="55">
        <v>130373650.19</v>
      </c>
      <c r="J195" s="11">
        <v>16475130</v>
      </c>
      <c r="K195" s="24">
        <f>18114554+142342</f>
        <v>18256896</v>
      </c>
      <c r="L195" s="24">
        <f>18114554+142342</f>
        <v>18256896</v>
      </c>
      <c r="M195" s="24">
        <f>52575354+142342</f>
        <v>52717696</v>
      </c>
      <c r="N195" s="24">
        <v>109954214.16</v>
      </c>
      <c r="O195" s="45">
        <f>72791149+142342+27384735.37</f>
        <v>100318226.37</v>
      </c>
      <c r="P195" s="45">
        <v>117719878.63</v>
      </c>
      <c r="Q195" s="65">
        <v>79783644</v>
      </c>
      <c r="R195" s="65">
        <f>SUM(R196:R302)</f>
        <v>84104000</v>
      </c>
      <c r="S195" s="65">
        <f>SUM(S196:S308)</f>
        <v>123072668.42000003</v>
      </c>
      <c r="T195" s="55" t="e">
        <f>#REF!</f>
        <v>#REF!</v>
      </c>
      <c r="U195" s="65">
        <f>SUM(U196:U308)</f>
        <v>85400700</v>
      </c>
    </row>
    <row r="196" spans="1:23" ht="25.5">
      <c r="A196" s="37" t="s">
        <v>357</v>
      </c>
      <c r="B196" s="106" t="s">
        <v>168</v>
      </c>
      <c r="C196" s="2"/>
      <c r="D196" s="58"/>
      <c r="E196" s="58"/>
      <c r="F196" s="58"/>
      <c r="G196" s="58"/>
      <c r="H196" s="58"/>
      <c r="I196" s="55"/>
      <c r="J196" s="11"/>
      <c r="K196" s="24"/>
      <c r="L196" s="24"/>
      <c r="M196" s="24"/>
      <c r="N196" s="24"/>
      <c r="O196" s="45"/>
      <c r="P196" s="45"/>
      <c r="Q196" s="45"/>
      <c r="R196" s="45">
        <v>20000000</v>
      </c>
      <c r="S196" s="45">
        <v>34182787</v>
      </c>
      <c r="T196" s="60"/>
      <c r="U196" s="137"/>
      <c r="V196" s="182" t="s">
        <v>657</v>
      </c>
    </row>
    <row r="197" spans="1:23" s="114" customFormat="1" ht="30">
      <c r="A197" s="37" t="s">
        <v>435</v>
      </c>
      <c r="B197" s="145" t="s">
        <v>430</v>
      </c>
      <c r="C197" s="2"/>
      <c r="D197" s="58"/>
      <c r="E197" s="58"/>
      <c r="F197" s="58"/>
      <c r="G197" s="58"/>
      <c r="H197" s="58"/>
      <c r="I197" s="55"/>
      <c r="J197" s="11"/>
      <c r="K197" s="24"/>
      <c r="L197" s="24"/>
      <c r="M197" s="24"/>
      <c r="N197" s="24"/>
      <c r="O197" s="45"/>
      <c r="P197" s="45"/>
      <c r="Q197" s="45"/>
      <c r="R197" s="45"/>
      <c r="S197" s="45"/>
      <c r="T197" s="69"/>
      <c r="U197" s="112">
        <v>5000000</v>
      </c>
      <c r="V197" s="135"/>
      <c r="W197" s="113"/>
    </row>
    <row r="198" spans="1:23" s="114" customFormat="1" ht="30.75">
      <c r="A198" s="37" t="s">
        <v>436</v>
      </c>
      <c r="B198" s="116" t="s">
        <v>431</v>
      </c>
      <c r="C198" s="2"/>
      <c r="D198" s="58"/>
      <c r="E198" s="58"/>
      <c r="F198" s="58"/>
      <c r="G198" s="58"/>
      <c r="H198" s="58"/>
      <c r="I198" s="55"/>
      <c r="J198" s="11"/>
      <c r="K198" s="24"/>
      <c r="L198" s="24"/>
      <c r="M198" s="24"/>
      <c r="N198" s="24"/>
      <c r="O198" s="45"/>
      <c r="P198" s="45"/>
      <c r="Q198" s="45"/>
      <c r="R198" s="45"/>
      <c r="S198" s="45"/>
      <c r="T198" s="69"/>
      <c r="U198" s="115">
        <v>10000000</v>
      </c>
      <c r="V198" s="136"/>
      <c r="W198" s="113"/>
    </row>
    <row r="199" spans="1:23" s="114" customFormat="1" ht="21">
      <c r="A199" s="37" t="s">
        <v>437</v>
      </c>
      <c r="B199" s="116" t="s">
        <v>432</v>
      </c>
      <c r="C199" s="2"/>
      <c r="D199" s="58"/>
      <c r="E199" s="58"/>
      <c r="F199" s="58"/>
      <c r="G199" s="58"/>
      <c r="H199" s="58"/>
      <c r="I199" s="55"/>
      <c r="J199" s="11"/>
      <c r="K199" s="24"/>
      <c r="L199" s="24"/>
      <c r="M199" s="24"/>
      <c r="N199" s="24"/>
      <c r="O199" s="45"/>
      <c r="P199" s="45"/>
      <c r="Q199" s="45"/>
      <c r="R199" s="45"/>
      <c r="S199" s="45"/>
      <c r="T199" s="69"/>
      <c r="U199" s="115">
        <v>5000000</v>
      </c>
      <c r="V199" s="136"/>
      <c r="W199" s="113"/>
    </row>
    <row r="200" spans="1:23" s="114" customFormat="1" ht="30.75">
      <c r="A200" s="37" t="s">
        <v>438</v>
      </c>
      <c r="B200" s="116" t="s">
        <v>433</v>
      </c>
      <c r="C200" s="2"/>
      <c r="D200" s="58"/>
      <c r="E200" s="58"/>
      <c r="F200" s="58"/>
      <c r="G200" s="58"/>
      <c r="H200" s="58"/>
      <c r="I200" s="55"/>
      <c r="J200" s="11"/>
      <c r="K200" s="24"/>
      <c r="L200" s="24"/>
      <c r="M200" s="24"/>
      <c r="N200" s="24"/>
      <c r="O200" s="45"/>
      <c r="P200" s="45"/>
      <c r="Q200" s="45"/>
      <c r="R200" s="45"/>
      <c r="S200" s="45"/>
      <c r="T200" s="69"/>
      <c r="U200" s="115">
        <v>5000000</v>
      </c>
      <c r="V200" s="136"/>
      <c r="W200" s="113"/>
    </row>
    <row r="201" spans="1:23" s="114" customFormat="1" ht="21">
      <c r="A201" s="37" t="s">
        <v>439</v>
      </c>
      <c r="B201" s="116" t="s">
        <v>434</v>
      </c>
      <c r="C201" s="2"/>
      <c r="D201" s="58"/>
      <c r="E201" s="58"/>
      <c r="F201" s="58"/>
      <c r="G201" s="58"/>
      <c r="H201" s="58"/>
      <c r="I201" s="55"/>
      <c r="J201" s="11"/>
      <c r="K201" s="24"/>
      <c r="L201" s="24"/>
      <c r="M201" s="24"/>
      <c r="N201" s="24"/>
      <c r="O201" s="45"/>
      <c r="P201" s="45"/>
      <c r="Q201" s="45"/>
      <c r="R201" s="45"/>
      <c r="S201" s="45"/>
      <c r="T201" s="69"/>
      <c r="U201" s="115">
        <v>5000000</v>
      </c>
      <c r="V201" s="136"/>
      <c r="W201" s="113"/>
    </row>
    <row r="202" spans="1:23">
      <c r="A202" s="37" t="s">
        <v>358</v>
      </c>
      <c r="B202" s="38" t="s">
        <v>337</v>
      </c>
      <c r="C202" s="2"/>
      <c r="D202" s="58"/>
      <c r="E202" s="58"/>
      <c r="F202" s="58"/>
      <c r="G202" s="58"/>
      <c r="H202" s="58"/>
      <c r="I202" s="55"/>
      <c r="J202" s="11"/>
      <c r="K202" s="24"/>
      <c r="L202" s="24"/>
      <c r="M202" s="24"/>
      <c r="N202" s="24"/>
      <c r="O202" s="45"/>
      <c r="P202" s="45"/>
      <c r="Q202" s="45"/>
      <c r="R202" s="45">
        <v>3600000</v>
      </c>
      <c r="S202" s="45">
        <v>0</v>
      </c>
      <c r="T202" s="60"/>
      <c r="U202" s="138">
        <v>0</v>
      </c>
      <c r="W202" s="92"/>
    </row>
    <row r="203" spans="1:23">
      <c r="A203" s="37" t="s">
        <v>359</v>
      </c>
      <c r="B203" s="4" t="s">
        <v>428</v>
      </c>
      <c r="C203" s="2"/>
      <c r="D203" s="58"/>
      <c r="E203" s="58"/>
      <c r="F203" s="58"/>
      <c r="G203" s="58"/>
      <c r="H203" s="58"/>
      <c r="I203" s="55"/>
      <c r="J203" s="11"/>
      <c r="K203" s="24"/>
      <c r="L203" s="24"/>
      <c r="M203" s="24"/>
      <c r="N203" s="24"/>
      <c r="O203" s="45"/>
      <c r="P203" s="45"/>
      <c r="Q203" s="45"/>
      <c r="R203" s="45">
        <v>2800000</v>
      </c>
      <c r="S203" s="45">
        <v>4550000</v>
      </c>
      <c r="T203" s="60"/>
      <c r="U203" s="94">
        <v>3600000</v>
      </c>
      <c r="W203" s="92"/>
    </row>
    <row r="204" spans="1:23">
      <c r="A204" s="37" t="s">
        <v>360</v>
      </c>
      <c r="B204" s="36" t="s">
        <v>551</v>
      </c>
      <c r="C204" s="2"/>
      <c r="D204" s="58"/>
      <c r="E204" s="58"/>
      <c r="F204" s="58"/>
      <c r="G204" s="58"/>
      <c r="H204" s="58"/>
      <c r="I204" s="55"/>
      <c r="J204" s="11"/>
      <c r="K204" s="24"/>
      <c r="L204" s="24"/>
      <c r="M204" s="24"/>
      <c r="N204" s="24"/>
      <c r="O204" s="45"/>
      <c r="P204" s="45"/>
      <c r="Q204" s="45"/>
      <c r="R204" s="45">
        <v>15500000</v>
      </c>
      <c r="S204" s="45">
        <f>5502661.79+23381845.98</f>
        <v>28884507.77</v>
      </c>
      <c r="T204" s="60"/>
      <c r="U204" s="94">
        <v>0</v>
      </c>
      <c r="W204" s="92"/>
    </row>
    <row r="205" spans="1:23">
      <c r="A205" s="37" t="s">
        <v>361</v>
      </c>
      <c r="B205" s="36" t="s">
        <v>550</v>
      </c>
      <c r="C205" s="2"/>
      <c r="D205" s="58"/>
      <c r="E205" s="58"/>
      <c r="F205" s="58"/>
      <c r="G205" s="58"/>
      <c r="H205" s="58"/>
      <c r="I205" s="55"/>
      <c r="J205" s="11"/>
      <c r="K205" s="24"/>
      <c r="L205" s="24"/>
      <c r="M205" s="24"/>
      <c r="N205" s="24"/>
      <c r="O205" s="45"/>
      <c r="P205" s="45"/>
      <c r="Q205" s="45"/>
      <c r="R205" s="45">
        <v>5616000</v>
      </c>
      <c r="S205" s="45">
        <v>9450000</v>
      </c>
      <c r="T205" s="60"/>
      <c r="U205" s="94">
        <v>3100000</v>
      </c>
      <c r="W205" s="92"/>
    </row>
    <row r="206" spans="1:23">
      <c r="A206" s="37" t="s">
        <v>362</v>
      </c>
      <c r="B206" s="4" t="s">
        <v>169</v>
      </c>
      <c r="C206" s="2"/>
      <c r="D206" s="58"/>
      <c r="E206" s="58"/>
      <c r="F206" s="58"/>
      <c r="G206" s="58"/>
      <c r="H206" s="58"/>
      <c r="I206" s="55"/>
      <c r="J206" s="11"/>
      <c r="K206" s="24"/>
      <c r="L206" s="24"/>
      <c r="M206" s="24"/>
      <c r="N206" s="24"/>
      <c r="O206" s="45"/>
      <c r="P206" s="45"/>
      <c r="Q206" s="45"/>
      <c r="R206" s="45">
        <v>13000000</v>
      </c>
      <c r="S206" s="46">
        <v>13000000</v>
      </c>
      <c r="T206" s="60"/>
      <c r="U206" s="94"/>
      <c r="W206" s="92"/>
    </row>
    <row r="207" spans="1:23" s="114" customFormat="1" ht="20.25">
      <c r="A207" s="37" t="s">
        <v>458</v>
      </c>
      <c r="B207" s="117" t="s">
        <v>440</v>
      </c>
      <c r="C207" s="2"/>
      <c r="D207" s="58"/>
      <c r="E207" s="58"/>
      <c r="F207" s="58"/>
      <c r="G207" s="58"/>
      <c r="H207" s="58"/>
      <c r="I207" s="55"/>
      <c r="J207" s="11"/>
      <c r="K207" s="24"/>
      <c r="L207" s="24"/>
      <c r="M207" s="24"/>
      <c r="N207" s="24"/>
      <c r="O207" s="45"/>
      <c r="P207" s="45"/>
      <c r="Q207" s="45"/>
      <c r="R207" s="45"/>
      <c r="S207" s="46"/>
      <c r="T207" s="60"/>
      <c r="U207" s="112">
        <v>500000</v>
      </c>
      <c r="V207" s="121"/>
      <c r="W207" s="113"/>
    </row>
    <row r="208" spans="1:23" s="114" customFormat="1" ht="42.75">
      <c r="A208" s="37" t="s">
        <v>459</v>
      </c>
      <c r="B208" s="118" t="s">
        <v>441</v>
      </c>
      <c r="C208" s="2"/>
      <c r="D208" s="58"/>
      <c r="E208" s="58"/>
      <c r="F208" s="58"/>
      <c r="G208" s="58"/>
      <c r="H208" s="58"/>
      <c r="I208" s="55"/>
      <c r="J208" s="11"/>
      <c r="K208" s="24"/>
      <c r="L208" s="24"/>
      <c r="M208" s="24"/>
      <c r="N208" s="24"/>
      <c r="O208" s="45"/>
      <c r="P208" s="45"/>
      <c r="Q208" s="45"/>
      <c r="R208" s="45"/>
      <c r="S208" s="46"/>
      <c r="T208" s="60"/>
      <c r="U208" s="112">
        <v>500000</v>
      </c>
      <c r="V208" s="121"/>
      <c r="W208" s="113"/>
    </row>
    <row r="209" spans="1:23" s="114" customFormat="1" ht="28.5">
      <c r="A209" s="37" t="s">
        <v>460</v>
      </c>
      <c r="B209" s="119" t="s">
        <v>442</v>
      </c>
      <c r="C209" s="2"/>
      <c r="D209" s="58"/>
      <c r="E209" s="58"/>
      <c r="F209" s="58"/>
      <c r="G209" s="58"/>
      <c r="H209" s="58"/>
      <c r="I209" s="55"/>
      <c r="J209" s="11"/>
      <c r="K209" s="24"/>
      <c r="L209" s="24"/>
      <c r="M209" s="24"/>
      <c r="N209" s="24"/>
      <c r="O209" s="45"/>
      <c r="P209" s="45"/>
      <c r="Q209" s="45"/>
      <c r="R209" s="45"/>
      <c r="S209" s="46"/>
      <c r="T209" s="60"/>
      <c r="U209" s="112">
        <v>500000</v>
      </c>
      <c r="V209" s="121"/>
      <c r="W209" s="113"/>
    </row>
    <row r="210" spans="1:23" s="114" customFormat="1" ht="20.25">
      <c r="A210" s="37" t="s">
        <v>461</v>
      </c>
      <c r="B210" s="117" t="s">
        <v>443</v>
      </c>
      <c r="C210" s="2"/>
      <c r="D210" s="58"/>
      <c r="E210" s="58"/>
      <c r="F210" s="58"/>
      <c r="G210" s="58"/>
      <c r="H210" s="58"/>
      <c r="I210" s="55"/>
      <c r="J210" s="11"/>
      <c r="K210" s="24"/>
      <c r="L210" s="24"/>
      <c r="M210" s="24"/>
      <c r="N210" s="24"/>
      <c r="O210" s="45"/>
      <c r="P210" s="45"/>
      <c r="Q210" s="45"/>
      <c r="R210" s="45"/>
      <c r="S210" s="46"/>
      <c r="T210" s="60"/>
      <c r="U210" s="112">
        <v>500000</v>
      </c>
      <c r="V210" s="121"/>
      <c r="W210" s="113"/>
    </row>
    <row r="211" spans="1:23" s="114" customFormat="1" ht="28.5">
      <c r="A211" s="37" t="s">
        <v>462</v>
      </c>
      <c r="B211" s="119" t="s">
        <v>444</v>
      </c>
      <c r="C211" s="2"/>
      <c r="D211" s="58"/>
      <c r="E211" s="58"/>
      <c r="F211" s="58"/>
      <c r="G211" s="58"/>
      <c r="H211" s="58"/>
      <c r="I211" s="55"/>
      <c r="J211" s="11"/>
      <c r="K211" s="24"/>
      <c r="L211" s="24"/>
      <c r="M211" s="24"/>
      <c r="N211" s="24"/>
      <c r="O211" s="45"/>
      <c r="P211" s="45"/>
      <c r="Q211" s="45"/>
      <c r="R211" s="45"/>
      <c r="S211" s="46"/>
      <c r="T211" s="60"/>
      <c r="U211" s="112">
        <v>500000</v>
      </c>
      <c r="V211" s="121"/>
      <c r="W211" s="113"/>
    </row>
    <row r="212" spans="1:23" s="114" customFormat="1" ht="42.75">
      <c r="A212" s="37" t="s">
        <v>463</v>
      </c>
      <c r="B212" s="119" t="s">
        <v>445</v>
      </c>
      <c r="C212" s="2"/>
      <c r="D212" s="58"/>
      <c r="E212" s="58"/>
      <c r="F212" s="58"/>
      <c r="G212" s="58"/>
      <c r="H212" s="58"/>
      <c r="I212" s="55"/>
      <c r="J212" s="11"/>
      <c r="K212" s="24"/>
      <c r="L212" s="24"/>
      <c r="M212" s="24"/>
      <c r="N212" s="24"/>
      <c r="O212" s="45"/>
      <c r="P212" s="45"/>
      <c r="Q212" s="45"/>
      <c r="R212" s="45"/>
      <c r="S212" s="46"/>
      <c r="T212" s="60"/>
      <c r="U212" s="112">
        <v>500000</v>
      </c>
      <c r="V212" s="121"/>
      <c r="W212" s="113"/>
    </row>
    <row r="213" spans="1:23" s="114" customFormat="1" ht="20.25">
      <c r="A213" s="37" t="s">
        <v>464</v>
      </c>
      <c r="B213" s="117" t="s">
        <v>446</v>
      </c>
      <c r="C213" s="2"/>
      <c r="D213" s="58"/>
      <c r="E213" s="58"/>
      <c r="F213" s="58"/>
      <c r="G213" s="58"/>
      <c r="H213" s="58"/>
      <c r="I213" s="55"/>
      <c r="J213" s="11"/>
      <c r="K213" s="24"/>
      <c r="L213" s="24"/>
      <c r="M213" s="24"/>
      <c r="N213" s="24"/>
      <c r="O213" s="45"/>
      <c r="P213" s="45"/>
      <c r="Q213" s="45"/>
      <c r="R213" s="45"/>
      <c r="S213" s="46"/>
      <c r="T213" s="60"/>
      <c r="U213" s="112">
        <v>500000</v>
      </c>
      <c r="V213" s="121"/>
      <c r="W213" s="113"/>
    </row>
    <row r="214" spans="1:23" s="114" customFormat="1" ht="20.25">
      <c r="A214" s="37" t="s">
        <v>465</v>
      </c>
      <c r="B214" s="117" t="s">
        <v>447</v>
      </c>
      <c r="C214" s="2"/>
      <c r="D214" s="58"/>
      <c r="E214" s="58"/>
      <c r="F214" s="58"/>
      <c r="G214" s="58"/>
      <c r="H214" s="58"/>
      <c r="I214" s="55"/>
      <c r="J214" s="11"/>
      <c r="K214" s="24"/>
      <c r="L214" s="24"/>
      <c r="M214" s="24"/>
      <c r="N214" s="24"/>
      <c r="O214" s="45"/>
      <c r="P214" s="45"/>
      <c r="Q214" s="45"/>
      <c r="R214" s="45"/>
      <c r="S214" s="46"/>
      <c r="T214" s="60"/>
      <c r="U214" s="112">
        <v>500000</v>
      </c>
      <c r="V214" s="121"/>
      <c r="W214" s="113"/>
    </row>
    <row r="215" spans="1:23" s="114" customFormat="1" ht="20.25">
      <c r="A215" s="37" t="s">
        <v>466</v>
      </c>
      <c r="B215" s="117" t="s">
        <v>448</v>
      </c>
      <c r="C215" s="2"/>
      <c r="D215" s="58"/>
      <c r="E215" s="58"/>
      <c r="F215" s="58"/>
      <c r="G215" s="58"/>
      <c r="H215" s="58"/>
      <c r="I215" s="55"/>
      <c r="J215" s="11"/>
      <c r="K215" s="24"/>
      <c r="L215" s="24"/>
      <c r="M215" s="24"/>
      <c r="N215" s="24"/>
      <c r="O215" s="45"/>
      <c r="P215" s="45"/>
      <c r="Q215" s="45"/>
      <c r="R215" s="45"/>
      <c r="S215" s="46"/>
      <c r="T215" s="60"/>
      <c r="U215" s="112">
        <v>500000</v>
      </c>
      <c r="V215" s="121"/>
      <c r="W215" s="113"/>
    </row>
    <row r="216" spans="1:23" s="114" customFormat="1" ht="20.25">
      <c r="A216" s="37" t="s">
        <v>467</v>
      </c>
      <c r="B216" s="117" t="s">
        <v>449</v>
      </c>
      <c r="C216" s="2"/>
      <c r="D216" s="58"/>
      <c r="E216" s="58"/>
      <c r="F216" s="58"/>
      <c r="G216" s="58"/>
      <c r="H216" s="58"/>
      <c r="I216" s="55"/>
      <c r="J216" s="11"/>
      <c r="K216" s="24"/>
      <c r="L216" s="24"/>
      <c r="M216" s="24"/>
      <c r="N216" s="24"/>
      <c r="O216" s="45"/>
      <c r="P216" s="45"/>
      <c r="Q216" s="45"/>
      <c r="R216" s="45"/>
      <c r="S216" s="46"/>
      <c r="T216" s="60"/>
      <c r="U216" s="112">
        <v>500000</v>
      </c>
      <c r="V216" s="121"/>
      <c r="W216" s="113"/>
    </row>
    <row r="217" spans="1:23" s="114" customFormat="1" ht="20.25">
      <c r="A217" s="37" t="s">
        <v>468</v>
      </c>
      <c r="B217" s="117" t="s">
        <v>450</v>
      </c>
      <c r="C217" s="2"/>
      <c r="D217" s="58"/>
      <c r="E217" s="58"/>
      <c r="F217" s="58"/>
      <c r="G217" s="58"/>
      <c r="H217" s="58"/>
      <c r="I217" s="55"/>
      <c r="J217" s="11"/>
      <c r="K217" s="24"/>
      <c r="L217" s="24"/>
      <c r="M217" s="24"/>
      <c r="N217" s="24"/>
      <c r="O217" s="45"/>
      <c r="P217" s="45"/>
      <c r="Q217" s="45"/>
      <c r="R217" s="45"/>
      <c r="S217" s="46"/>
      <c r="T217" s="60"/>
      <c r="U217" s="112">
        <v>500000</v>
      </c>
      <c r="V217" s="121"/>
      <c r="W217" s="113"/>
    </row>
    <row r="218" spans="1:23" s="114" customFormat="1" ht="20.25">
      <c r="A218" s="37" t="s">
        <v>469</v>
      </c>
      <c r="B218" s="117" t="s">
        <v>451</v>
      </c>
      <c r="C218" s="2"/>
      <c r="D218" s="58"/>
      <c r="E218" s="58"/>
      <c r="F218" s="58"/>
      <c r="G218" s="58"/>
      <c r="H218" s="58"/>
      <c r="I218" s="55"/>
      <c r="J218" s="11"/>
      <c r="K218" s="24"/>
      <c r="L218" s="24"/>
      <c r="M218" s="24"/>
      <c r="N218" s="24"/>
      <c r="O218" s="45"/>
      <c r="P218" s="45"/>
      <c r="Q218" s="45"/>
      <c r="R218" s="45"/>
      <c r="S218" s="46"/>
      <c r="T218" s="60"/>
      <c r="U218" s="112">
        <v>500000</v>
      </c>
      <c r="V218" s="121"/>
      <c r="W218" s="113"/>
    </row>
    <row r="219" spans="1:23" s="114" customFormat="1" ht="20.25">
      <c r="A219" s="37" t="s">
        <v>470</v>
      </c>
      <c r="B219" s="117" t="s">
        <v>452</v>
      </c>
      <c r="C219" s="2"/>
      <c r="D219" s="58"/>
      <c r="E219" s="58"/>
      <c r="F219" s="58"/>
      <c r="G219" s="58"/>
      <c r="H219" s="58"/>
      <c r="I219" s="55"/>
      <c r="J219" s="11"/>
      <c r="K219" s="24"/>
      <c r="L219" s="24"/>
      <c r="M219" s="24"/>
      <c r="N219" s="24"/>
      <c r="O219" s="45"/>
      <c r="P219" s="45"/>
      <c r="Q219" s="45"/>
      <c r="R219" s="45"/>
      <c r="S219" s="46"/>
      <c r="T219" s="60"/>
      <c r="U219" s="112">
        <v>500000</v>
      </c>
      <c r="V219" s="121"/>
      <c r="W219" s="113"/>
    </row>
    <row r="220" spans="1:23" s="114" customFormat="1" ht="20.25">
      <c r="A220" s="37" t="s">
        <v>471</v>
      </c>
      <c r="B220" s="117" t="s">
        <v>453</v>
      </c>
      <c r="C220" s="2"/>
      <c r="D220" s="58"/>
      <c r="E220" s="58"/>
      <c r="F220" s="58"/>
      <c r="G220" s="58"/>
      <c r="H220" s="58"/>
      <c r="I220" s="55"/>
      <c r="J220" s="11"/>
      <c r="K220" s="24"/>
      <c r="L220" s="24"/>
      <c r="M220" s="24"/>
      <c r="N220" s="24"/>
      <c r="O220" s="45"/>
      <c r="P220" s="45"/>
      <c r="Q220" s="45"/>
      <c r="R220" s="45"/>
      <c r="S220" s="46"/>
      <c r="T220" s="60"/>
      <c r="U220" s="112">
        <v>500000</v>
      </c>
      <c r="V220" s="121"/>
      <c r="W220" s="113"/>
    </row>
    <row r="221" spans="1:23" s="114" customFormat="1" ht="20.25">
      <c r="A221" s="37" t="s">
        <v>472</v>
      </c>
      <c r="B221" s="117" t="s">
        <v>454</v>
      </c>
      <c r="C221" s="2"/>
      <c r="D221" s="58"/>
      <c r="E221" s="58"/>
      <c r="F221" s="58"/>
      <c r="G221" s="58"/>
      <c r="H221" s="58"/>
      <c r="I221" s="55"/>
      <c r="J221" s="11"/>
      <c r="K221" s="24"/>
      <c r="L221" s="24"/>
      <c r="M221" s="24"/>
      <c r="N221" s="24"/>
      <c r="O221" s="45"/>
      <c r="P221" s="45"/>
      <c r="Q221" s="45"/>
      <c r="R221" s="45"/>
      <c r="S221" s="46"/>
      <c r="T221" s="60"/>
      <c r="U221" s="112">
        <v>500000</v>
      </c>
      <c r="V221" s="121"/>
      <c r="W221" s="113"/>
    </row>
    <row r="222" spans="1:23" s="114" customFormat="1" ht="20.25">
      <c r="A222" s="37" t="s">
        <v>473</v>
      </c>
      <c r="B222" s="117" t="s">
        <v>455</v>
      </c>
      <c r="C222" s="2"/>
      <c r="D222" s="58"/>
      <c r="E222" s="58"/>
      <c r="F222" s="58"/>
      <c r="G222" s="58"/>
      <c r="H222" s="58"/>
      <c r="I222" s="55"/>
      <c r="J222" s="11"/>
      <c r="K222" s="24"/>
      <c r="L222" s="24"/>
      <c r="M222" s="24"/>
      <c r="N222" s="24"/>
      <c r="O222" s="45"/>
      <c r="P222" s="45"/>
      <c r="Q222" s="45"/>
      <c r="R222" s="45"/>
      <c r="S222" s="46"/>
      <c r="T222" s="60"/>
      <c r="U222" s="112">
        <v>500000</v>
      </c>
      <c r="V222" s="121"/>
      <c r="W222" s="113"/>
    </row>
    <row r="223" spans="1:23" s="114" customFormat="1" ht="20.25">
      <c r="A223" s="37" t="s">
        <v>474</v>
      </c>
      <c r="B223" s="117" t="s">
        <v>456</v>
      </c>
      <c r="C223" s="2"/>
      <c r="D223" s="58"/>
      <c r="E223" s="58"/>
      <c r="F223" s="58"/>
      <c r="G223" s="58"/>
      <c r="H223" s="58"/>
      <c r="I223" s="55"/>
      <c r="J223" s="11"/>
      <c r="K223" s="24"/>
      <c r="L223" s="24"/>
      <c r="M223" s="24"/>
      <c r="N223" s="24"/>
      <c r="O223" s="45"/>
      <c r="P223" s="45"/>
      <c r="Q223" s="45"/>
      <c r="R223" s="45"/>
      <c r="S223" s="46"/>
      <c r="T223" s="60"/>
      <c r="U223" s="112">
        <v>1000000</v>
      </c>
      <c r="V223" s="121"/>
      <c r="W223" s="113"/>
    </row>
    <row r="224" spans="1:23" s="114" customFormat="1" ht="20.25">
      <c r="A224" s="37" t="s">
        <v>475</v>
      </c>
      <c r="B224" s="117" t="s">
        <v>457</v>
      </c>
      <c r="C224" s="2"/>
      <c r="D224" s="58"/>
      <c r="E224" s="58"/>
      <c r="F224" s="58"/>
      <c r="G224" s="58"/>
      <c r="H224" s="58"/>
      <c r="I224" s="55"/>
      <c r="J224" s="11"/>
      <c r="K224" s="24"/>
      <c r="L224" s="24"/>
      <c r="M224" s="24"/>
      <c r="N224" s="24"/>
      <c r="O224" s="45"/>
      <c r="P224" s="45"/>
      <c r="Q224" s="45"/>
      <c r="R224" s="45"/>
      <c r="S224" s="46"/>
      <c r="T224" s="60"/>
      <c r="U224" s="112">
        <v>1000000</v>
      </c>
      <c r="V224" s="121"/>
      <c r="W224" s="113"/>
    </row>
    <row r="225" spans="1:23" s="114" customFormat="1" ht="20.25">
      <c r="A225" s="37" t="s">
        <v>481</v>
      </c>
      <c r="B225" s="117" t="s">
        <v>476</v>
      </c>
      <c r="C225" s="2"/>
      <c r="D225" s="58"/>
      <c r="E225" s="58"/>
      <c r="F225" s="58"/>
      <c r="G225" s="58"/>
      <c r="H225" s="58"/>
      <c r="I225" s="55"/>
      <c r="J225" s="11"/>
      <c r="K225" s="24"/>
      <c r="L225" s="24"/>
      <c r="M225" s="24"/>
      <c r="N225" s="24"/>
      <c r="O225" s="45"/>
      <c r="P225" s="45"/>
      <c r="Q225" s="45"/>
      <c r="R225" s="45"/>
      <c r="S225" s="46"/>
      <c r="T225" s="60"/>
      <c r="U225" s="112" t="s">
        <v>486</v>
      </c>
      <c r="V225" s="121"/>
      <c r="W225" s="113"/>
    </row>
    <row r="226" spans="1:23" s="114" customFormat="1" ht="20.25">
      <c r="A226" s="37" t="s">
        <v>482</v>
      </c>
      <c r="B226" s="117" t="s">
        <v>477</v>
      </c>
      <c r="C226" s="2"/>
      <c r="D226" s="58"/>
      <c r="E226" s="58"/>
      <c r="F226" s="58"/>
      <c r="G226" s="58"/>
      <c r="H226" s="58"/>
      <c r="I226" s="55"/>
      <c r="J226" s="11"/>
      <c r="K226" s="24"/>
      <c r="L226" s="24"/>
      <c r="M226" s="24"/>
      <c r="N226" s="24"/>
      <c r="O226" s="45"/>
      <c r="P226" s="45"/>
      <c r="Q226" s="45"/>
      <c r="R226" s="45"/>
      <c r="S226" s="46"/>
      <c r="T226" s="60"/>
      <c r="U226" s="112">
        <v>1000000</v>
      </c>
      <c r="V226" s="121"/>
      <c r="W226" s="113"/>
    </row>
    <row r="227" spans="1:23" s="114" customFormat="1" ht="42.75">
      <c r="A227" s="37" t="s">
        <v>483</v>
      </c>
      <c r="B227" s="120" t="s">
        <v>478</v>
      </c>
      <c r="C227" s="2"/>
      <c r="D227" s="58"/>
      <c r="E227" s="58"/>
      <c r="F227" s="58"/>
      <c r="G227" s="58"/>
      <c r="H227" s="58"/>
      <c r="I227" s="55"/>
      <c r="J227" s="11"/>
      <c r="K227" s="24"/>
      <c r="L227" s="24"/>
      <c r="M227" s="24"/>
      <c r="N227" s="24"/>
      <c r="O227" s="45"/>
      <c r="P227" s="45"/>
      <c r="Q227" s="45"/>
      <c r="R227" s="45"/>
      <c r="S227" s="46"/>
      <c r="T227" s="60"/>
      <c r="U227" s="112">
        <v>1000000</v>
      </c>
      <c r="V227" s="121"/>
      <c r="W227" s="113"/>
    </row>
    <row r="228" spans="1:23" s="114" customFormat="1" ht="28.5">
      <c r="A228" s="37" t="s">
        <v>484</v>
      </c>
      <c r="B228" s="119" t="s">
        <v>479</v>
      </c>
      <c r="C228" s="2"/>
      <c r="D228" s="58"/>
      <c r="E228" s="58"/>
      <c r="F228" s="58"/>
      <c r="G228" s="58"/>
      <c r="H228" s="58"/>
      <c r="I228" s="55"/>
      <c r="J228" s="11"/>
      <c r="K228" s="24"/>
      <c r="L228" s="24"/>
      <c r="M228" s="24"/>
      <c r="N228" s="24"/>
      <c r="O228" s="45"/>
      <c r="P228" s="45"/>
      <c r="Q228" s="45"/>
      <c r="R228" s="45"/>
      <c r="S228" s="46"/>
      <c r="T228" s="60"/>
      <c r="U228" s="112">
        <v>500000</v>
      </c>
      <c r="V228" s="121"/>
      <c r="W228" s="113"/>
    </row>
    <row r="229" spans="1:23" s="114" customFormat="1" ht="28.5">
      <c r="A229" s="37" t="s">
        <v>485</v>
      </c>
      <c r="B229" s="119" t="s">
        <v>480</v>
      </c>
      <c r="C229" s="2"/>
      <c r="D229" s="58"/>
      <c r="E229" s="58"/>
      <c r="F229" s="58"/>
      <c r="G229" s="58"/>
      <c r="H229" s="58"/>
      <c r="I229" s="55"/>
      <c r="J229" s="11"/>
      <c r="K229" s="24"/>
      <c r="L229" s="24"/>
      <c r="M229" s="24"/>
      <c r="N229" s="24"/>
      <c r="O229" s="45"/>
      <c r="P229" s="45"/>
      <c r="Q229" s="45"/>
      <c r="R229" s="45"/>
      <c r="S229" s="46"/>
      <c r="T229" s="60"/>
      <c r="U229" s="112">
        <v>500000</v>
      </c>
      <c r="V229" s="121"/>
      <c r="W229" s="113"/>
    </row>
    <row r="230" spans="1:23" s="114" customFormat="1" ht="20.25">
      <c r="A230" s="37"/>
      <c r="B230" s="119"/>
      <c r="C230" s="2"/>
      <c r="D230" s="58"/>
      <c r="E230" s="58"/>
      <c r="F230" s="58"/>
      <c r="G230" s="58"/>
      <c r="H230" s="58"/>
      <c r="I230" s="55"/>
      <c r="J230" s="11"/>
      <c r="K230" s="24"/>
      <c r="L230" s="24"/>
      <c r="M230" s="24"/>
      <c r="N230" s="24"/>
      <c r="O230" s="45"/>
      <c r="P230" s="45"/>
      <c r="Q230" s="45"/>
      <c r="R230" s="45"/>
      <c r="S230" s="46"/>
      <c r="T230" s="60"/>
      <c r="U230" s="112"/>
      <c r="V230" s="121"/>
      <c r="W230" s="113"/>
    </row>
    <row r="231" spans="1:23" ht="30.75" customHeight="1">
      <c r="A231" s="37" t="s">
        <v>363</v>
      </c>
      <c r="B231" s="107" t="s">
        <v>487</v>
      </c>
      <c r="C231" s="2"/>
      <c r="D231" s="58"/>
      <c r="E231" s="58"/>
      <c r="F231" s="58"/>
      <c r="G231" s="58"/>
      <c r="H231" s="58"/>
      <c r="I231" s="55"/>
      <c r="J231" s="11"/>
      <c r="K231" s="24"/>
      <c r="L231" s="24"/>
      <c r="M231" s="24"/>
      <c r="N231" s="24"/>
      <c r="O231" s="45"/>
      <c r="P231" s="45"/>
      <c r="Q231" s="45"/>
      <c r="R231" s="45">
        <v>6500000</v>
      </c>
      <c r="S231" s="46">
        <v>6500000</v>
      </c>
      <c r="T231" s="60"/>
      <c r="U231" s="45"/>
      <c r="V231" s="82"/>
      <c r="W231" s="92"/>
    </row>
    <row r="232" spans="1:23">
      <c r="A232" s="35" t="s">
        <v>552</v>
      </c>
      <c r="B232" s="3" t="s">
        <v>498</v>
      </c>
      <c r="C232" s="2"/>
      <c r="D232" s="58"/>
      <c r="E232" s="58"/>
      <c r="F232" s="58"/>
      <c r="G232" s="58"/>
      <c r="H232" s="58"/>
      <c r="I232" s="55"/>
      <c r="J232" s="11"/>
      <c r="K232" s="24"/>
      <c r="L232" s="24"/>
      <c r="M232" s="24"/>
      <c r="N232" s="24"/>
      <c r="O232" s="45"/>
      <c r="P232" s="45"/>
      <c r="Q232" s="45"/>
      <c r="R232" s="45"/>
      <c r="S232" s="46"/>
      <c r="T232" s="60"/>
      <c r="U232" s="45"/>
      <c r="V232" s="82"/>
      <c r="W232" s="92"/>
    </row>
    <row r="233" spans="1:23" s="114" customFormat="1" ht="21">
      <c r="A233" s="37" t="s">
        <v>554</v>
      </c>
      <c r="B233" s="117" t="s">
        <v>488</v>
      </c>
      <c r="C233" s="2"/>
      <c r="D233" s="58"/>
      <c r="E233" s="58"/>
      <c r="F233" s="58"/>
      <c r="G233" s="58"/>
      <c r="H233" s="58"/>
      <c r="I233" s="55"/>
      <c r="J233" s="11"/>
      <c r="K233" s="24"/>
      <c r="L233" s="24"/>
      <c r="M233" s="24"/>
      <c r="N233" s="24"/>
      <c r="O233" s="45"/>
      <c r="P233" s="45"/>
      <c r="Q233" s="45"/>
      <c r="R233" s="45"/>
      <c r="S233" s="46"/>
      <c r="T233" s="60"/>
      <c r="U233" s="122">
        <v>2400000</v>
      </c>
      <c r="V233" s="136"/>
      <c r="W233" s="113"/>
    </row>
    <row r="234" spans="1:23" s="114" customFormat="1" ht="21">
      <c r="A234" s="37" t="s">
        <v>555</v>
      </c>
      <c r="B234" s="117" t="s">
        <v>489</v>
      </c>
      <c r="C234" s="2"/>
      <c r="D234" s="58"/>
      <c r="E234" s="58"/>
      <c r="F234" s="58"/>
      <c r="G234" s="58"/>
      <c r="H234" s="58"/>
      <c r="I234" s="55"/>
      <c r="J234" s="11"/>
      <c r="K234" s="24"/>
      <c r="L234" s="24"/>
      <c r="M234" s="24"/>
      <c r="N234" s="24"/>
      <c r="O234" s="45"/>
      <c r="P234" s="45"/>
      <c r="Q234" s="45"/>
      <c r="R234" s="45"/>
      <c r="S234" s="46"/>
      <c r="T234" s="60"/>
      <c r="U234" s="122">
        <v>500000</v>
      </c>
      <c r="V234" s="136"/>
      <c r="W234" s="113"/>
    </row>
    <row r="235" spans="1:23" s="114" customFormat="1" ht="21">
      <c r="A235" s="37" t="s">
        <v>556</v>
      </c>
      <c r="B235" s="117" t="s">
        <v>490</v>
      </c>
      <c r="C235" s="2"/>
      <c r="D235" s="58"/>
      <c r="E235" s="58"/>
      <c r="F235" s="58"/>
      <c r="G235" s="58"/>
      <c r="H235" s="58"/>
      <c r="I235" s="55"/>
      <c r="J235" s="11"/>
      <c r="K235" s="24"/>
      <c r="L235" s="24"/>
      <c r="M235" s="24"/>
      <c r="N235" s="24"/>
      <c r="O235" s="45"/>
      <c r="P235" s="45"/>
      <c r="Q235" s="45"/>
      <c r="R235" s="45"/>
      <c r="S235" s="46"/>
      <c r="T235" s="60"/>
      <c r="U235" s="122">
        <v>500000</v>
      </c>
      <c r="V235" s="136"/>
      <c r="W235" s="113"/>
    </row>
    <row r="236" spans="1:23" s="114" customFormat="1" ht="21">
      <c r="A236" s="37" t="s">
        <v>557</v>
      </c>
      <c r="B236" s="117" t="s">
        <v>491</v>
      </c>
      <c r="C236" s="2"/>
      <c r="D236" s="58"/>
      <c r="E236" s="58"/>
      <c r="F236" s="58"/>
      <c r="G236" s="58"/>
      <c r="H236" s="58"/>
      <c r="I236" s="55"/>
      <c r="J236" s="11"/>
      <c r="K236" s="24"/>
      <c r="L236" s="24"/>
      <c r="M236" s="24"/>
      <c r="N236" s="24"/>
      <c r="O236" s="45"/>
      <c r="P236" s="45"/>
      <c r="Q236" s="45"/>
      <c r="R236" s="45"/>
      <c r="S236" s="46"/>
      <c r="T236" s="60"/>
      <c r="U236" s="122">
        <v>150000</v>
      </c>
      <c r="V236" s="136"/>
      <c r="W236" s="113"/>
    </row>
    <row r="237" spans="1:23" s="114" customFormat="1" ht="21">
      <c r="A237" s="37" t="s">
        <v>558</v>
      </c>
      <c r="B237" s="117" t="s">
        <v>492</v>
      </c>
      <c r="C237" s="2"/>
      <c r="D237" s="58"/>
      <c r="E237" s="58"/>
      <c r="F237" s="58"/>
      <c r="G237" s="58"/>
      <c r="H237" s="58"/>
      <c r="I237" s="55"/>
      <c r="J237" s="11"/>
      <c r="K237" s="24"/>
      <c r="L237" s="24"/>
      <c r="M237" s="24"/>
      <c r="N237" s="24"/>
      <c r="O237" s="45"/>
      <c r="P237" s="45"/>
      <c r="Q237" s="45"/>
      <c r="R237" s="45"/>
      <c r="S237" s="46"/>
      <c r="T237" s="60"/>
      <c r="U237" s="122">
        <v>110000</v>
      </c>
      <c r="V237" s="136"/>
      <c r="W237" s="113"/>
    </row>
    <row r="238" spans="1:23" s="114" customFormat="1" ht="21">
      <c r="A238" s="37" t="s">
        <v>559</v>
      </c>
      <c r="B238" s="117" t="s">
        <v>493</v>
      </c>
      <c r="C238" s="2"/>
      <c r="D238" s="58"/>
      <c r="E238" s="58"/>
      <c r="F238" s="58"/>
      <c r="G238" s="58"/>
      <c r="H238" s="58"/>
      <c r="I238" s="55"/>
      <c r="J238" s="11"/>
      <c r="K238" s="24"/>
      <c r="L238" s="24"/>
      <c r="M238" s="24"/>
      <c r="N238" s="24"/>
      <c r="O238" s="45"/>
      <c r="P238" s="45"/>
      <c r="Q238" s="45"/>
      <c r="R238" s="45"/>
      <c r="S238" s="46"/>
      <c r="T238" s="60"/>
      <c r="U238" s="122">
        <v>100000</v>
      </c>
      <c r="V238" s="136"/>
      <c r="W238" s="113"/>
    </row>
    <row r="239" spans="1:23" s="114" customFormat="1" ht="21">
      <c r="A239" s="37" t="s">
        <v>560</v>
      </c>
      <c r="B239" s="117" t="s">
        <v>494</v>
      </c>
      <c r="C239" s="2"/>
      <c r="D239" s="58"/>
      <c r="E239" s="58"/>
      <c r="F239" s="58"/>
      <c r="G239" s="58"/>
      <c r="H239" s="58"/>
      <c r="I239" s="55"/>
      <c r="J239" s="11"/>
      <c r="K239" s="24"/>
      <c r="L239" s="24"/>
      <c r="M239" s="24"/>
      <c r="N239" s="24"/>
      <c r="O239" s="45"/>
      <c r="P239" s="45"/>
      <c r="Q239" s="45"/>
      <c r="R239" s="45"/>
      <c r="S239" s="46"/>
      <c r="T239" s="60"/>
      <c r="U239" s="122">
        <v>1000000</v>
      </c>
      <c r="V239" s="136"/>
      <c r="W239" s="113"/>
    </row>
    <row r="240" spans="1:23" s="114" customFormat="1" ht="21">
      <c r="A240" s="37" t="s">
        <v>561</v>
      </c>
      <c r="B240" s="117" t="s">
        <v>495</v>
      </c>
      <c r="C240" s="2"/>
      <c r="D240" s="58"/>
      <c r="E240" s="58"/>
      <c r="F240" s="58"/>
      <c r="G240" s="58"/>
      <c r="H240" s="58"/>
      <c r="I240" s="55"/>
      <c r="J240" s="11"/>
      <c r="K240" s="24"/>
      <c r="L240" s="24"/>
      <c r="M240" s="24"/>
      <c r="N240" s="24"/>
      <c r="O240" s="45"/>
      <c r="P240" s="45"/>
      <c r="Q240" s="45"/>
      <c r="R240" s="45"/>
      <c r="S240" s="46"/>
      <c r="T240" s="60"/>
      <c r="U240" s="122">
        <v>50000</v>
      </c>
      <c r="V240" s="136"/>
      <c r="W240" s="113"/>
    </row>
    <row r="241" spans="1:23" s="114" customFormat="1" ht="21">
      <c r="A241" s="37" t="s">
        <v>562</v>
      </c>
      <c r="B241" s="117" t="s">
        <v>496</v>
      </c>
      <c r="C241" s="2"/>
      <c r="D241" s="58"/>
      <c r="E241" s="58"/>
      <c r="F241" s="58"/>
      <c r="G241" s="58"/>
      <c r="H241" s="58"/>
      <c r="I241" s="55"/>
      <c r="J241" s="11"/>
      <c r="K241" s="24"/>
      <c r="L241" s="24"/>
      <c r="M241" s="24"/>
      <c r="N241" s="24"/>
      <c r="O241" s="45"/>
      <c r="P241" s="45"/>
      <c r="Q241" s="45"/>
      <c r="R241" s="45"/>
      <c r="S241" s="46"/>
      <c r="T241" s="60"/>
      <c r="U241" s="122">
        <v>50000</v>
      </c>
      <c r="V241" s="136"/>
      <c r="W241" s="113"/>
    </row>
    <row r="242" spans="1:23" s="114" customFormat="1" ht="21">
      <c r="A242" s="37" t="s">
        <v>563</v>
      </c>
      <c r="B242" s="117" t="s">
        <v>497</v>
      </c>
      <c r="C242" s="2"/>
      <c r="D242" s="58"/>
      <c r="E242" s="58"/>
      <c r="F242" s="58"/>
      <c r="G242" s="58"/>
      <c r="H242" s="58"/>
      <c r="I242" s="55"/>
      <c r="J242" s="11"/>
      <c r="K242" s="24"/>
      <c r="L242" s="24"/>
      <c r="M242" s="24"/>
      <c r="N242" s="24"/>
      <c r="O242" s="45"/>
      <c r="P242" s="45"/>
      <c r="Q242" s="45"/>
      <c r="R242" s="45"/>
      <c r="S242" s="46"/>
      <c r="T242" s="60"/>
      <c r="U242" s="122">
        <v>250000</v>
      </c>
      <c r="V242" s="136"/>
      <c r="W242" s="113"/>
    </row>
    <row r="243" spans="1:23">
      <c r="A243" s="35" t="s">
        <v>553</v>
      </c>
      <c r="B243" s="3" t="s">
        <v>499</v>
      </c>
      <c r="C243" s="2"/>
      <c r="D243" s="58"/>
      <c r="E243" s="58"/>
      <c r="F243" s="58"/>
      <c r="G243" s="58"/>
      <c r="H243" s="58"/>
      <c r="I243" s="55"/>
      <c r="J243" s="11"/>
      <c r="K243" s="24"/>
      <c r="L243" s="24"/>
      <c r="M243" s="24"/>
      <c r="N243" s="24"/>
      <c r="O243" s="45"/>
      <c r="P243" s="45"/>
      <c r="Q243" s="45"/>
      <c r="R243" s="45"/>
      <c r="S243" s="46"/>
      <c r="T243" s="60"/>
      <c r="U243" s="45"/>
      <c r="V243" s="82"/>
      <c r="W243" s="92"/>
    </row>
    <row r="244" spans="1:23" s="114" customFormat="1" ht="21">
      <c r="A244" s="37" t="s">
        <v>565</v>
      </c>
      <c r="B244" s="117" t="s">
        <v>500</v>
      </c>
      <c r="C244" s="2"/>
      <c r="D244" s="58"/>
      <c r="E244" s="58"/>
      <c r="F244" s="58"/>
      <c r="G244" s="58"/>
      <c r="H244" s="58"/>
      <c r="I244" s="55"/>
      <c r="J244" s="11"/>
      <c r="K244" s="24"/>
      <c r="L244" s="24"/>
      <c r="M244" s="24"/>
      <c r="N244" s="24"/>
      <c r="O244" s="45"/>
      <c r="P244" s="45"/>
      <c r="Q244" s="45"/>
      <c r="R244" s="45"/>
      <c r="S244" s="46"/>
      <c r="T244" s="60"/>
      <c r="U244" s="122">
        <v>150000</v>
      </c>
      <c r="V244" s="136"/>
      <c r="W244" s="113"/>
    </row>
    <row r="245" spans="1:23" s="114" customFormat="1" ht="21">
      <c r="A245" s="37" t="s">
        <v>566</v>
      </c>
      <c r="B245" s="117" t="s">
        <v>501</v>
      </c>
      <c r="C245" s="2"/>
      <c r="D245" s="58"/>
      <c r="E245" s="58"/>
      <c r="F245" s="58"/>
      <c r="G245" s="58"/>
      <c r="H245" s="58"/>
      <c r="I245" s="55"/>
      <c r="J245" s="11"/>
      <c r="K245" s="24"/>
      <c r="L245" s="24"/>
      <c r="M245" s="24"/>
      <c r="N245" s="24"/>
      <c r="O245" s="45"/>
      <c r="P245" s="45"/>
      <c r="Q245" s="45"/>
      <c r="R245" s="45"/>
      <c r="S245" s="46"/>
      <c r="T245" s="60"/>
      <c r="U245" s="122">
        <v>150000</v>
      </c>
      <c r="V245" s="136"/>
      <c r="W245" s="113"/>
    </row>
    <row r="246" spans="1:23" s="114" customFormat="1" ht="21">
      <c r="A246" s="37" t="s">
        <v>567</v>
      </c>
      <c r="B246" s="117" t="s">
        <v>502</v>
      </c>
      <c r="C246" s="2"/>
      <c r="D246" s="58"/>
      <c r="E246" s="58"/>
      <c r="F246" s="58"/>
      <c r="G246" s="58"/>
      <c r="H246" s="58"/>
      <c r="I246" s="55"/>
      <c r="J246" s="11"/>
      <c r="K246" s="24"/>
      <c r="L246" s="24"/>
      <c r="M246" s="24"/>
      <c r="N246" s="24"/>
      <c r="O246" s="45"/>
      <c r="P246" s="45"/>
      <c r="Q246" s="45"/>
      <c r="R246" s="45"/>
      <c r="S246" s="46"/>
      <c r="T246" s="60"/>
      <c r="U246" s="122">
        <v>200000</v>
      </c>
      <c r="V246" s="136"/>
      <c r="W246" s="113"/>
    </row>
    <row r="247" spans="1:23" s="114" customFormat="1" ht="21">
      <c r="A247" s="37" t="s">
        <v>568</v>
      </c>
      <c r="B247" s="117" t="s">
        <v>503</v>
      </c>
      <c r="C247" s="2"/>
      <c r="D247" s="58"/>
      <c r="E247" s="58"/>
      <c r="F247" s="58"/>
      <c r="G247" s="58"/>
      <c r="H247" s="58"/>
      <c r="I247" s="55"/>
      <c r="J247" s="11"/>
      <c r="K247" s="24"/>
      <c r="L247" s="24"/>
      <c r="M247" s="24"/>
      <c r="N247" s="24"/>
      <c r="O247" s="45"/>
      <c r="P247" s="45"/>
      <c r="Q247" s="45"/>
      <c r="R247" s="45"/>
      <c r="S247" s="46"/>
      <c r="T247" s="60"/>
      <c r="U247" s="122">
        <v>36000</v>
      </c>
      <c r="V247" s="136"/>
      <c r="W247" s="113"/>
    </row>
    <row r="248" spans="1:23" s="114" customFormat="1" ht="21">
      <c r="A248" s="37" t="s">
        <v>569</v>
      </c>
      <c r="B248" s="117" t="s">
        <v>504</v>
      </c>
      <c r="C248" s="2"/>
      <c r="D248" s="58"/>
      <c r="E248" s="58"/>
      <c r="F248" s="58"/>
      <c r="G248" s="58"/>
      <c r="H248" s="58"/>
      <c r="I248" s="55"/>
      <c r="J248" s="11"/>
      <c r="K248" s="24"/>
      <c r="L248" s="24"/>
      <c r="M248" s="24"/>
      <c r="N248" s="24"/>
      <c r="O248" s="45"/>
      <c r="P248" s="45"/>
      <c r="Q248" s="45"/>
      <c r="R248" s="45"/>
      <c r="S248" s="46"/>
      <c r="T248" s="60"/>
      <c r="U248" s="122">
        <v>200000</v>
      </c>
      <c r="V248" s="136"/>
      <c r="W248" s="113"/>
    </row>
    <row r="249" spans="1:23" s="114" customFormat="1" ht="21">
      <c r="A249" s="37" t="s">
        <v>570</v>
      </c>
      <c r="B249" s="117" t="s">
        <v>505</v>
      </c>
      <c r="C249" s="2"/>
      <c r="D249" s="58"/>
      <c r="E249" s="58"/>
      <c r="F249" s="58"/>
      <c r="G249" s="58"/>
      <c r="H249" s="58"/>
      <c r="I249" s="55"/>
      <c r="J249" s="11"/>
      <c r="K249" s="24"/>
      <c r="L249" s="24"/>
      <c r="M249" s="24"/>
      <c r="N249" s="24"/>
      <c r="O249" s="45"/>
      <c r="P249" s="45"/>
      <c r="Q249" s="45"/>
      <c r="R249" s="45"/>
      <c r="S249" s="46"/>
      <c r="T249" s="60"/>
      <c r="U249" s="122">
        <v>200000</v>
      </c>
      <c r="V249" s="136"/>
      <c r="W249" s="113"/>
    </row>
    <row r="250" spans="1:23" s="114" customFormat="1" ht="21">
      <c r="A250" s="37" t="s">
        <v>571</v>
      </c>
      <c r="B250" s="117" t="s">
        <v>506</v>
      </c>
      <c r="C250" s="2"/>
      <c r="D250" s="58"/>
      <c r="E250" s="58"/>
      <c r="F250" s="58"/>
      <c r="G250" s="58"/>
      <c r="H250" s="58"/>
      <c r="I250" s="55"/>
      <c r="J250" s="11"/>
      <c r="K250" s="24"/>
      <c r="L250" s="24"/>
      <c r="M250" s="24"/>
      <c r="N250" s="24"/>
      <c r="O250" s="45"/>
      <c r="P250" s="45"/>
      <c r="Q250" s="45"/>
      <c r="R250" s="45"/>
      <c r="S250" s="46"/>
      <c r="T250" s="60"/>
      <c r="U250" s="122">
        <v>100000</v>
      </c>
      <c r="V250" s="136"/>
      <c r="W250" s="113"/>
    </row>
    <row r="251" spans="1:23" s="114" customFormat="1" ht="21">
      <c r="A251" s="37" t="s">
        <v>572</v>
      </c>
      <c r="B251" s="117" t="s">
        <v>507</v>
      </c>
      <c r="C251" s="2"/>
      <c r="D251" s="58"/>
      <c r="E251" s="58"/>
      <c r="F251" s="58"/>
      <c r="G251" s="58"/>
      <c r="H251" s="58"/>
      <c r="I251" s="55"/>
      <c r="J251" s="11"/>
      <c r="K251" s="24"/>
      <c r="L251" s="24"/>
      <c r="M251" s="24"/>
      <c r="N251" s="24"/>
      <c r="O251" s="45"/>
      <c r="P251" s="45"/>
      <c r="Q251" s="45"/>
      <c r="R251" s="45"/>
      <c r="S251" s="46"/>
      <c r="T251" s="60"/>
      <c r="U251" s="122">
        <v>100000</v>
      </c>
      <c r="V251" s="136"/>
      <c r="W251" s="113"/>
    </row>
    <row r="252" spans="1:23" s="114" customFormat="1" ht="21">
      <c r="A252" s="37" t="s">
        <v>573</v>
      </c>
      <c r="B252" s="117" t="s">
        <v>508</v>
      </c>
      <c r="C252" s="2"/>
      <c r="D252" s="58"/>
      <c r="E252" s="58"/>
      <c r="F252" s="58"/>
      <c r="G252" s="58"/>
      <c r="H252" s="58"/>
      <c r="I252" s="55"/>
      <c r="J252" s="11"/>
      <c r="K252" s="24"/>
      <c r="L252" s="24"/>
      <c r="M252" s="24"/>
      <c r="N252" s="24"/>
      <c r="O252" s="45"/>
      <c r="P252" s="45"/>
      <c r="Q252" s="45"/>
      <c r="R252" s="45"/>
      <c r="S252" s="46"/>
      <c r="T252" s="60"/>
      <c r="U252" s="122">
        <v>400000</v>
      </c>
      <c r="V252" s="136"/>
      <c r="W252" s="113"/>
    </row>
    <row r="253" spans="1:23" s="114" customFormat="1" ht="21">
      <c r="A253" s="37" t="s">
        <v>574</v>
      </c>
      <c r="B253" s="117" t="s">
        <v>509</v>
      </c>
      <c r="C253" s="2"/>
      <c r="D253" s="58"/>
      <c r="E253" s="58"/>
      <c r="F253" s="58"/>
      <c r="G253" s="58"/>
      <c r="H253" s="58"/>
      <c r="I253" s="55"/>
      <c r="J253" s="11"/>
      <c r="K253" s="24"/>
      <c r="L253" s="24"/>
      <c r="M253" s="24"/>
      <c r="N253" s="24"/>
      <c r="O253" s="45"/>
      <c r="P253" s="45"/>
      <c r="Q253" s="45"/>
      <c r="R253" s="45"/>
      <c r="S253" s="46"/>
      <c r="T253" s="60"/>
      <c r="U253" s="122">
        <v>450000</v>
      </c>
      <c r="V253" s="136"/>
      <c r="W253" s="113"/>
    </row>
    <row r="254" spans="1:23" s="114" customFormat="1" ht="21">
      <c r="A254" s="37" t="s">
        <v>575</v>
      </c>
      <c r="B254" s="117" t="s">
        <v>510</v>
      </c>
      <c r="C254" s="2"/>
      <c r="D254" s="58"/>
      <c r="E254" s="58"/>
      <c r="F254" s="58"/>
      <c r="G254" s="58"/>
      <c r="H254" s="58"/>
      <c r="I254" s="55"/>
      <c r="J254" s="11"/>
      <c r="K254" s="24"/>
      <c r="L254" s="24"/>
      <c r="M254" s="24"/>
      <c r="N254" s="24"/>
      <c r="O254" s="45"/>
      <c r="P254" s="45"/>
      <c r="Q254" s="45"/>
      <c r="R254" s="45"/>
      <c r="S254" s="46"/>
      <c r="T254" s="60"/>
      <c r="U254" s="122">
        <v>150000</v>
      </c>
      <c r="V254" s="136"/>
      <c r="W254" s="113"/>
    </row>
    <row r="255" spans="1:23" s="114" customFormat="1" ht="21">
      <c r="A255" s="37" t="s">
        <v>576</v>
      </c>
      <c r="B255" s="117" t="s">
        <v>511</v>
      </c>
      <c r="C255" s="2"/>
      <c r="D255" s="58"/>
      <c r="E255" s="58"/>
      <c r="F255" s="58"/>
      <c r="G255" s="58"/>
      <c r="H255" s="58"/>
      <c r="I255" s="55"/>
      <c r="J255" s="11"/>
      <c r="K255" s="24"/>
      <c r="L255" s="24"/>
      <c r="M255" s="24"/>
      <c r="N255" s="24"/>
      <c r="O255" s="45"/>
      <c r="P255" s="45"/>
      <c r="Q255" s="45"/>
      <c r="R255" s="45"/>
      <c r="S255" s="46"/>
      <c r="T255" s="60"/>
      <c r="U255" s="122">
        <v>100000</v>
      </c>
      <c r="V255" s="136"/>
      <c r="W255" s="113"/>
    </row>
    <row r="256" spans="1:23" s="114" customFormat="1" ht="21">
      <c r="A256" s="37" t="s">
        <v>577</v>
      </c>
      <c r="B256" s="117" t="s">
        <v>512</v>
      </c>
      <c r="C256" s="2"/>
      <c r="D256" s="58"/>
      <c r="E256" s="58"/>
      <c r="F256" s="58"/>
      <c r="G256" s="58"/>
      <c r="H256" s="58"/>
      <c r="I256" s="55"/>
      <c r="J256" s="11"/>
      <c r="K256" s="24"/>
      <c r="L256" s="24"/>
      <c r="M256" s="24"/>
      <c r="N256" s="24"/>
      <c r="O256" s="45"/>
      <c r="P256" s="45"/>
      <c r="Q256" s="45"/>
      <c r="R256" s="45"/>
      <c r="S256" s="46"/>
      <c r="T256" s="60"/>
      <c r="U256" s="122">
        <v>100000</v>
      </c>
      <c r="V256" s="136"/>
      <c r="W256" s="113"/>
    </row>
    <row r="257" spans="1:23" s="114" customFormat="1" ht="21">
      <c r="A257" s="37" t="s">
        <v>578</v>
      </c>
      <c r="B257" s="117" t="s">
        <v>513</v>
      </c>
      <c r="C257" s="2"/>
      <c r="D257" s="58"/>
      <c r="E257" s="58"/>
      <c r="F257" s="58"/>
      <c r="G257" s="58"/>
      <c r="H257" s="58"/>
      <c r="I257" s="55"/>
      <c r="J257" s="11"/>
      <c r="K257" s="24"/>
      <c r="L257" s="24"/>
      <c r="M257" s="24"/>
      <c r="N257" s="24"/>
      <c r="O257" s="45"/>
      <c r="P257" s="45"/>
      <c r="Q257" s="45"/>
      <c r="R257" s="45"/>
      <c r="S257" s="46"/>
      <c r="T257" s="60"/>
      <c r="U257" s="122">
        <v>100000</v>
      </c>
      <c r="V257" s="136"/>
      <c r="W257" s="113"/>
    </row>
    <row r="258" spans="1:23" s="114" customFormat="1" ht="21">
      <c r="A258" s="37" t="s">
        <v>579</v>
      </c>
      <c r="B258" s="117" t="s">
        <v>514</v>
      </c>
      <c r="C258" s="2"/>
      <c r="D258" s="58"/>
      <c r="E258" s="58"/>
      <c r="F258" s="58"/>
      <c r="G258" s="58"/>
      <c r="H258" s="58"/>
      <c r="I258" s="55"/>
      <c r="J258" s="11"/>
      <c r="K258" s="24"/>
      <c r="L258" s="24"/>
      <c r="M258" s="24"/>
      <c r="N258" s="24"/>
      <c r="O258" s="45"/>
      <c r="P258" s="45"/>
      <c r="Q258" s="45"/>
      <c r="R258" s="45"/>
      <c r="S258" s="46"/>
      <c r="T258" s="60"/>
      <c r="U258" s="122">
        <v>50000</v>
      </c>
      <c r="V258" s="136"/>
      <c r="W258" s="113"/>
    </row>
    <row r="259" spans="1:23" s="114" customFormat="1" ht="21">
      <c r="A259" s="37" t="s">
        <v>580</v>
      </c>
      <c r="B259" s="117" t="s">
        <v>515</v>
      </c>
      <c r="C259" s="2"/>
      <c r="D259" s="58"/>
      <c r="E259" s="58"/>
      <c r="F259" s="58"/>
      <c r="G259" s="58"/>
      <c r="H259" s="58"/>
      <c r="I259" s="55"/>
      <c r="J259" s="11"/>
      <c r="K259" s="24"/>
      <c r="L259" s="24"/>
      <c r="M259" s="24"/>
      <c r="N259" s="24"/>
      <c r="O259" s="45"/>
      <c r="P259" s="45"/>
      <c r="Q259" s="45"/>
      <c r="R259" s="45"/>
      <c r="S259" s="46"/>
      <c r="T259" s="60"/>
      <c r="U259" s="122">
        <v>150000</v>
      </c>
      <c r="V259" s="136"/>
      <c r="W259" s="113"/>
    </row>
    <row r="260" spans="1:23" s="114" customFormat="1" ht="21">
      <c r="A260" s="37" t="s">
        <v>581</v>
      </c>
      <c r="B260" s="117" t="s">
        <v>516</v>
      </c>
      <c r="C260" s="2"/>
      <c r="D260" s="58"/>
      <c r="E260" s="58"/>
      <c r="F260" s="58"/>
      <c r="G260" s="58"/>
      <c r="H260" s="58"/>
      <c r="I260" s="55"/>
      <c r="J260" s="11"/>
      <c r="K260" s="24"/>
      <c r="L260" s="24"/>
      <c r="M260" s="24"/>
      <c r="N260" s="24"/>
      <c r="O260" s="45"/>
      <c r="P260" s="45"/>
      <c r="Q260" s="45"/>
      <c r="R260" s="45"/>
      <c r="S260" s="46"/>
      <c r="T260" s="60"/>
      <c r="U260" s="122">
        <v>170600</v>
      </c>
      <c r="V260" s="136"/>
      <c r="W260" s="113"/>
    </row>
    <row r="261" spans="1:23" s="114" customFormat="1" ht="21">
      <c r="A261" s="37" t="s">
        <v>582</v>
      </c>
      <c r="B261" s="117" t="s">
        <v>517</v>
      </c>
      <c r="C261" s="2"/>
      <c r="D261" s="58"/>
      <c r="E261" s="58"/>
      <c r="F261" s="58"/>
      <c r="G261" s="58"/>
      <c r="H261" s="58"/>
      <c r="I261" s="55"/>
      <c r="J261" s="11"/>
      <c r="K261" s="24"/>
      <c r="L261" s="24"/>
      <c r="M261" s="24"/>
      <c r="N261" s="24"/>
      <c r="O261" s="45"/>
      <c r="P261" s="45"/>
      <c r="Q261" s="45"/>
      <c r="R261" s="45"/>
      <c r="S261" s="46"/>
      <c r="T261" s="60"/>
      <c r="U261" s="122">
        <v>350000</v>
      </c>
      <c r="V261" s="136"/>
      <c r="W261" s="113"/>
    </row>
    <row r="262" spans="1:23" s="114" customFormat="1" ht="21">
      <c r="A262" s="37" t="s">
        <v>583</v>
      </c>
      <c r="B262" s="117" t="s">
        <v>518</v>
      </c>
      <c r="C262" s="2"/>
      <c r="D262" s="58"/>
      <c r="E262" s="58"/>
      <c r="F262" s="58"/>
      <c r="G262" s="58"/>
      <c r="H262" s="58"/>
      <c r="I262" s="55"/>
      <c r="J262" s="11"/>
      <c r="K262" s="24"/>
      <c r="L262" s="24"/>
      <c r="M262" s="24"/>
      <c r="N262" s="24"/>
      <c r="O262" s="45"/>
      <c r="P262" s="45"/>
      <c r="Q262" s="45"/>
      <c r="R262" s="45"/>
      <c r="S262" s="46"/>
      <c r="T262" s="60"/>
      <c r="U262" s="122">
        <v>50000</v>
      </c>
      <c r="V262" s="136"/>
      <c r="W262" s="113"/>
    </row>
    <row r="263" spans="1:23" s="114" customFormat="1" ht="21">
      <c r="A263" s="37" t="s">
        <v>584</v>
      </c>
      <c r="B263" s="117" t="s">
        <v>519</v>
      </c>
      <c r="C263" s="2"/>
      <c r="D263" s="58"/>
      <c r="E263" s="58"/>
      <c r="F263" s="58"/>
      <c r="G263" s="58"/>
      <c r="H263" s="58"/>
      <c r="I263" s="55"/>
      <c r="J263" s="11"/>
      <c r="K263" s="24"/>
      <c r="L263" s="24"/>
      <c r="M263" s="24"/>
      <c r="N263" s="24"/>
      <c r="O263" s="45"/>
      <c r="P263" s="45"/>
      <c r="Q263" s="45"/>
      <c r="R263" s="45"/>
      <c r="S263" s="46"/>
      <c r="T263" s="60"/>
      <c r="U263" s="122">
        <v>100000</v>
      </c>
      <c r="V263" s="136"/>
      <c r="W263" s="113"/>
    </row>
    <row r="264" spans="1:23" s="114" customFormat="1" ht="21">
      <c r="A264" s="37" t="s">
        <v>585</v>
      </c>
      <c r="B264" s="117" t="s">
        <v>520</v>
      </c>
      <c r="C264" s="2"/>
      <c r="D264" s="58"/>
      <c r="E264" s="58"/>
      <c r="F264" s="58"/>
      <c r="G264" s="58"/>
      <c r="H264" s="58"/>
      <c r="I264" s="55"/>
      <c r="J264" s="11"/>
      <c r="K264" s="24"/>
      <c r="L264" s="24"/>
      <c r="M264" s="24"/>
      <c r="N264" s="24"/>
      <c r="O264" s="45"/>
      <c r="P264" s="45"/>
      <c r="Q264" s="45"/>
      <c r="R264" s="45"/>
      <c r="S264" s="46"/>
      <c r="T264" s="60"/>
      <c r="U264" s="122">
        <v>100000</v>
      </c>
      <c r="V264" s="136"/>
      <c r="W264" s="113"/>
    </row>
    <row r="265" spans="1:23" s="124" customFormat="1" ht="21">
      <c r="A265" s="35" t="s">
        <v>564</v>
      </c>
      <c r="B265" s="123" t="s">
        <v>521</v>
      </c>
      <c r="C265" s="2"/>
      <c r="D265" s="58"/>
      <c r="E265" s="58"/>
      <c r="F265" s="58"/>
      <c r="G265" s="58"/>
      <c r="H265" s="58"/>
      <c r="I265" s="55"/>
      <c r="J265" s="11"/>
      <c r="K265" s="24"/>
      <c r="L265" s="24"/>
      <c r="M265" s="24"/>
      <c r="N265" s="24"/>
      <c r="O265" s="45"/>
      <c r="P265" s="45"/>
      <c r="Q265" s="45"/>
      <c r="R265" s="45"/>
      <c r="S265" s="46"/>
      <c r="T265" s="60"/>
      <c r="U265" s="122"/>
      <c r="V265" s="132"/>
      <c r="W265" s="125"/>
    </row>
    <row r="266" spans="1:23" s="114" customFormat="1" ht="21">
      <c r="A266" s="37" t="s">
        <v>586</v>
      </c>
      <c r="B266" s="126" t="s">
        <v>522</v>
      </c>
      <c r="C266" s="2"/>
      <c r="D266" s="58"/>
      <c r="E266" s="58"/>
      <c r="F266" s="58"/>
      <c r="G266" s="58"/>
      <c r="H266" s="58"/>
      <c r="I266" s="55"/>
      <c r="J266" s="11"/>
      <c r="K266" s="24"/>
      <c r="L266" s="24"/>
      <c r="M266" s="24"/>
      <c r="N266" s="24"/>
      <c r="O266" s="45"/>
      <c r="P266" s="45"/>
      <c r="Q266" s="45"/>
      <c r="R266" s="45"/>
      <c r="S266" s="46"/>
      <c r="T266" s="60"/>
      <c r="U266" s="122">
        <v>700000</v>
      </c>
      <c r="V266" s="136"/>
      <c r="W266" s="113"/>
    </row>
    <row r="267" spans="1:23" s="114" customFormat="1" ht="21">
      <c r="A267" s="37" t="s">
        <v>587</v>
      </c>
      <c r="B267" s="126" t="s">
        <v>523</v>
      </c>
      <c r="C267" s="2"/>
      <c r="D267" s="58"/>
      <c r="E267" s="58"/>
      <c r="F267" s="58"/>
      <c r="G267" s="58"/>
      <c r="H267" s="58"/>
      <c r="I267" s="55"/>
      <c r="J267" s="11"/>
      <c r="K267" s="24"/>
      <c r="L267" s="24"/>
      <c r="M267" s="24"/>
      <c r="N267" s="24"/>
      <c r="O267" s="45"/>
      <c r="P267" s="45"/>
      <c r="Q267" s="45"/>
      <c r="R267" s="45"/>
      <c r="S267" s="46"/>
      <c r="T267" s="60"/>
      <c r="U267" s="122">
        <v>250000</v>
      </c>
      <c r="V267" s="136"/>
      <c r="W267" s="113"/>
    </row>
    <row r="268" spans="1:23" s="114" customFormat="1" ht="21">
      <c r="A268" s="37" t="s">
        <v>588</v>
      </c>
      <c r="B268" s="126" t="s">
        <v>524</v>
      </c>
      <c r="C268" s="2"/>
      <c r="D268" s="58"/>
      <c r="E268" s="58"/>
      <c r="F268" s="58"/>
      <c r="G268" s="58"/>
      <c r="H268" s="58"/>
      <c r="I268" s="55"/>
      <c r="J268" s="11"/>
      <c r="K268" s="24"/>
      <c r="L268" s="24"/>
      <c r="M268" s="24"/>
      <c r="N268" s="24"/>
      <c r="O268" s="45"/>
      <c r="P268" s="45"/>
      <c r="Q268" s="45"/>
      <c r="R268" s="45"/>
      <c r="S268" s="46"/>
      <c r="T268" s="60"/>
      <c r="U268" s="122">
        <v>200000</v>
      </c>
      <c r="V268" s="136"/>
      <c r="W268" s="113"/>
    </row>
    <row r="269" spans="1:23" s="114" customFormat="1" ht="21">
      <c r="A269" s="37" t="s">
        <v>589</v>
      </c>
      <c r="B269" s="126" t="s">
        <v>525</v>
      </c>
      <c r="C269" s="2"/>
      <c r="D269" s="58"/>
      <c r="E269" s="58"/>
      <c r="F269" s="58"/>
      <c r="G269" s="58"/>
      <c r="H269" s="58"/>
      <c r="I269" s="55"/>
      <c r="J269" s="11"/>
      <c r="K269" s="24"/>
      <c r="L269" s="24"/>
      <c r="M269" s="24"/>
      <c r="N269" s="24"/>
      <c r="O269" s="45"/>
      <c r="P269" s="45"/>
      <c r="Q269" s="45"/>
      <c r="R269" s="45"/>
      <c r="S269" s="46"/>
      <c r="T269" s="60"/>
      <c r="U269" s="122">
        <v>200000</v>
      </c>
      <c r="V269" s="136"/>
      <c r="W269" s="113"/>
    </row>
    <row r="270" spans="1:23" s="114" customFormat="1" ht="21">
      <c r="A270" s="37" t="s">
        <v>590</v>
      </c>
      <c r="B270" s="126" t="s">
        <v>526</v>
      </c>
      <c r="C270" s="2"/>
      <c r="D270" s="58"/>
      <c r="E270" s="58"/>
      <c r="F270" s="58"/>
      <c r="G270" s="58"/>
      <c r="H270" s="58"/>
      <c r="I270" s="55"/>
      <c r="J270" s="11"/>
      <c r="K270" s="24"/>
      <c r="L270" s="24"/>
      <c r="M270" s="24"/>
      <c r="N270" s="24"/>
      <c r="O270" s="45"/>
      <c r="P270" s="45"/>
      <c r="Q270" s="45"/>
      <c r="R270" s="45"/>
      <c r="S270" s="46"/>
      <c r="T270" s="60"/>
      <c r="U270" s="122">
        <v>100000</v>
      </c>
      <c r="V270" s="136"/>
      <c r="W270" s="113"/>
    </row>
    <row r="271" spans="1:23" s="114" customFormat="1" ht="21">
      <c r="A271" s="37" t="s">
        <v>591</v>
      </c>
      <c r="B271" s="126" t="s">
        <v>527</v>
      </c>
      <c r="C271" s="2"/>
      <c r="D271" s="58"/>
      <c r="E271" s="58"/>
      <c r="F271" s="58"/>
      <c r="G271" s="58"/>
      <c r="H271" s="58"/>
      <c r="I271" s="55"/>
      <c r="J271" s="11"/>
      <c r="K271" s="24"/>
      <c r="L271" s="24"/>
      <c r="M271" s="24"/>
      <c r="N271" s="24"/>
      <c r="O271" s="45"/>
      <c r="P271" s="45"/>
      <c r="Q271" s="45"/>
      <c r="R271" s="45"/>
      <c r="S271" s="46"/>
      <c r="T271" s="60"/>
      <c r="U271" s="122">
        <v>150000</v>
      </c>
      <c r="V271" s="136"/>
      <c r="W271" s="113"/>
    </row>
    <row r="272" spans="1:23" s="114" customFormat="1" ht="21">
      <c r="A272" s="37" t="s">
        <v>592</v>
      </c>
      <c r="B272" s="126" t="s">
        <v>528</v>
      </c>
      <c r="C272" s="2"/>
      <c r="D272" s="58"/>
      <c r="E272" s="58"/>
      <c r="F272" s="58"/>
      <c r="G272" s="58"/>
      <c r="H272" s="58"/>
      <c r="I272" s="55"/>
      <c r="J272" s="11"/>
      <c r="K272" s="24"/>
      <c r="L272" s="24"/>
      <c r="M272" s="24"/>
      <c r="N272" s="24"/>
      <c r="O272" s="45"/>
      <c r="P272" s="45"/>
      <c r="Q272" s="45"/>
      <c r="R272" s="45"/>
      <c r="S272" s="46"/>
      <c r="T272" s="60"/>
      <c r="U272" s="122">
        <v>100000</v>
      </c>
      <c r="V272" s="136"/>
      <c r="W272" s="113"/>
    </row>
    <row r="273" spans="1:23" s="114" customFormat="1" ht="21">
      <c r="A273" s="37" t="s">
        <v>593</v>
      </c>
      <c r="B273" s="126" t="s">
        <v>529</v>
      </c>
      <c r="C273" s="2"/>
      <c r="D273" s="58"/>
      <c r="E273" s="58"/>
      <c r="F273" s="58"/>
      <c r="G273" s="58"/>
      <c r="H273" s="58"/>
      <c r="I273" s="55"/>
      <c r="J273" s="11"/>
      <c r="K273" s="24"/>
      <c r="L273" s="24"/>
      <c r="M273" s="24"/>
      <c r="N273" s="24"/>
      <c r="O273" s="45"/>
      <c r="P273" s="45"/>
      <c r="Q273" s="45"/>
      <c r="R273" s="45"/>
      <c r="S273" s="46"/>
      <c r="T273" s="60"/>
      <c r="U273" s="122">
        <v>250000</v>
      </c>
      <c r="V273" s="136"/>
      <c r="W273" s="113"/>
    </row>
    <row r="274" spans="1:23" s="114" customFormat="1" ht="21">
      <c r="A274" s="37" t="s">
        <v>594</v>
      </c>
      <c r="B274" s="126" t="s">
        <v>530</v>
      </c>
      <c r="C274" s="2"/>
      <c r="D274" s="58"/>
      <c r="E274" s="58"/>
      <c r="F274" s="58"/>
      <c r="G274" s="58"/>
      <c r="H274" s="58"/>
      <c r="I274" s="55"/>
      <c r="J274" s="11"/>
      <c r="K274" s="24"/>
      <c r="L274" s="24"/>
      <c r="M274" s="24"/>
      <c r="N274" s="24"/>
      <c r="O274" s="45"/>
      <c r="P274" s="45"/>
      <c r="Q274" s="45"/>
      <c r="R274" s="45"/>
      <c r="S274" s="46"/>
      <c r="T274" s="60"/>
      <c r="U274" s="122">
        <v>300000</v>
      </c>
      <c r="V274" s="136"/>
      <c r="W274" s="113"/>
    </row>
    <row r="275" spans="1:23" s="114" customFormat="1" ht="21">
      <c r="A275" s="37" t="s">
        <v>595</v>
      </c>
      <c r="B275" s="117" t="s">
        <v>531</v>
      </c>
      <c r="C275" s="2"/>
      <c r="D275" s="58"/>
      <c r="E275" s="58"/>
      <c r="F275" s="58"/>
      <c r="G275" s="58"/>
      <c r="H275" s="58"/>
      <c r="I275" s="55"/>
      <c r="J275" s="11"/>
      <c r="K275" s="24"/>
      <c r="L275" s="24"/>
      <c r="M275" s="24"/>
      <c r="N275" s="24"/>
      <c r="O275" s="45"/>
      <c r="P275" s="45"/>
      <c r="Q275" s="45"/>
      <c r="R275" s="45"/>
      <c r="S275" s="46"/>
      <c r="T275" s="60"/>
      <c r="U275" s="122">
        <v>70000</v>
      </c>
      <c r="V275" s="136"/>
      <c r="W275" s="113"/>
    </row>
    <row r="276" spans="1:23" s="114" customFormat="1" ht="21">
      <c r="A276" s="37" t="s">
        <v>596</v>
      </c>
      <c r="B276" s="117" t="s">
        <v>532</v>
      </c>
      <c r="C276" s="2"/>
      <c r="D276" s="58"/>
      <c r="E276" s="58"/>
      <c r="F276" s="58"/>
      <c r="G276" s="58"/>
      <c r="H276" s="58"/>
      <c r="I276" s="55"/>
      <c r="J276" s="11"/>
      <c r="K276" s="24"/>
      <c r="L276" s="24"/>
      <c r="M276" s="24"/>
      <c r="N276" s="24"/>
      <c r="O276" s="45"/>
      <c r="P276" s="45"/>
      <c r="Q276" s="45"/>
      <c r="R276" s="45"/>
      <c r="S276" s="46"/>
      <c r="T276" s="60"/>
      <c r="U276" s="122">
        <v>36000</v>
      </c>
      <c r="V276" s="136"/>
      <c r="W276" s="113"/>
    </row>
    <row r="277" spans="1:23" s="114" customFormat="1" ht="21">
      <c r="A277" s="37" t="s">
        <v>597</v>
      </c>
      <c r="B277" s="117" t="s">
        <v>533</v>
      </c>
      <c r="C277" s="2"/>
      <c r="D277" s="58"/>
      <c r="E277" s="58"/>
      <c r="F277" s="58"/>
      <c r="G277" s="58"/>
      <c r="H277" s="58"/>
      <c r="I277" s="55"/>
      <c r="J277" s="11"/>
      <c r="K277" s="24"/>
      <c r="L277" s="24"/>
      <c r="M277" s="24"/>
      <c r="N277" s="24"/>
      <c r="O277" s="45"/>
      <c r="P277" s="45"/>
      <c r="Q277" s="45"/>
      <c r="R277" s="45"/>
      <c r="S277" s="46"/>
      <c r="T277" s="60"/>
      <c r="U277" s="122">
        <v>250000</v>
      </c>
      <c r="V277" s="136"/>
      <c r="W277" s="113"/>
    </row>
    <row r="278" spans="1:23" s="114" customFormat="1" ht="21">
      <c r="A278" s="37" t="s">
        <v>598</v>
      </c>
      <c r="B278" s="117" t="s">
        <v>534</v>
      </c>
      <c r="C278" s="2"/>
      <c r="D278" s="58"/>
      <c r="E278" s="58"/>
      <c r="F278" s="58"/>
      <c r="G278" s="58"/>
      <c r="H278" s="58"/>
      <c r="I278" s="55"/>
      <c r="J278" s="11"/>
      <c r="K278" s="24"/>
      <c r="L278" s="24"/>
      <c r="M278" s="24"/>
      <c r="N278" s="24"/>
      <c r="O278" s="45"/>
      <c r="P278" s="45"/>
      <c r="Q278" s="45"/>
      <c r="R278" s="45"/>
      <c r="S278" s="46"/>
      <c r="T278" s="60"/>
      <c r="U278" s="122">
        <v>500000</v>
      </c>
      <c r="V278" s="136"/>
      <c r="W278" s="113"/>
    </row>
    <row r="279" spans="1:23" s="114" customFormat="1" ht="21">
      <c r="A279" s="37" t="s">
        <v>599</v>
      </c>
      <c r="B279" s="117" t="s">
        <v>535</v>
      </c>
      <c r="C279" s="2"/>
      <c r="D279" s="58"/>
      <c r="E279" s="58"/>
      <c r="F279" s="58"/>
      <c r="G279" s="58"/>
      <c r="H279" s="58"/>
      <c r="I279" s="55"/>
      <c r="J279" s="11"/>
      <c r="K279" s="24"/>
      <c r="L279" s="24"/>
      <c r="M279" s="24"/>
      <c r="N279" s="24"/>
      <c r="O279" s="45"/>
      <c r="P279" s="45"/>
      <c r="Q279" s="45"/>
      <c r="R279" s="45"/>
      <c r="S279" s="46"/>
      <c r="T279" s="60"/>
      <c r="U279" s="122">
        <v>30000</v>
      </c>
      <c r="V279" s="136"/>
      <c r="W279" s="113"/>
    </row>
    <row r="280" spans="1:23" s="114" customFormat="1" ht="21">
      <c r="A280" s="37" t="s">
        <v>600</v>
      </c>
      <c r="B280" s="117" t="s">
        <v>536</v>
      </c>
      <c r="C280" s="2"/>
      <c r="D280" s="58"/>
      <c r="E280" s="58"/>
      <c r="F280" s="58"/>
      <c r="G280" s="58"/>
      <c r="H280" s="58"/>
      <c r="I280" s="55"/>
      <c r="J280" s="11"/>
      <c r="K280" s="24"/>
      <c r="L280" s="24"/>
      <c r="M280" s="24"/>
      <c r="N280" s="24"/>
      <c r="O280" s="45"/>
      <c r="P280" s="45"/>
      <c r="Q280" s="45"/>
      <c r="R280" s="45"/>
      <c r="S280" s="46"/>
      <c r="T280" s="60"/>
      <c r="U280" s="122">
        <v>23000</v>
      </c>
      <c r="V280" s="136"/>
      <c r="W280" s="113"/>
    </row>
    <row r="281" spans="1:23" s="114" customFormat="1" ht="21">
      <c r="A281" s="37" t="s">
        <v>601</v>
      </c>
      <c r="B281" s="117" t="s">
        <v>537</v>
      </c>
      <c r="C281" s="2"/>
      <c r="D281" s="58"/>
      <c r="E281" s="58"/>
      <c r="F281" s="58"/>
      <c r="G281" s="58"/>
      <c r="H281" s="58"/>
      <c r="I281" s="55"/>
      <c r="J281" s="11"/>
      <c r="K281" s="24"/>
      <c r="L281" s="24"/>
      <c r="M281" s="24"/>
      <c r="N281" s="24"/>
      <c r="O281" s="45"/>
      <c r="P281" s="45"/>
      <c r="Q281" s="45"/>
      <c r="R281" s="45"/>
      <c r="S281" s="46"/>
      <c r="T281" s="60"/>
      <c r="U281" s="122">
        <v>300000</v>
      </c>
      <c r="V281" s="136"/>
      <c r="W281" s="113"/>
    </row>
    <row r="282" spans="1:23" s="114" customFormat="1" ht="21">
      <c r="A282" s="37" t="s">
        <v>602</v>
      </c>
      <c r="B282" s="117" t="s">
        <v>538</v>
      </c>
      <c r="C282" s="2"/>
      <c r="D282" s="58"/>
      <c r="E282" s="58"/>
      <c r="F282" s="58"/>
      <c r="G282" s="58"/>
      <c r="H282" s="58"/>
      <c r="I282" s="55"/>
      <c r="J282" s="11"/>
      <c r="K282" s="24"/>
      <c r="L282" s="24"/>
      <c r="M282" s="24"/>
      <c r="N282" s="24"/>
      <c r="O282" s="45"/>
      <c r="P282" s="45"/>
      <c r="Q282" s="45"/>
      <c r="R282" s="45"/>
      <c r="S282" s="46"/>
      <c r="T282" s="60"/>
      <c r="U282" s="122">
        <v>500000</v>
      </c>
      <c r="V282" s="136"/>
      <c r="W282" s="113"/>
    </row>
    <row r="283" spans="1:23" s="114" customFormat="1" ht="21">
      <c r="A283" s="37" t="s">
        <v>603</v>
      </c>
      <c r="B283" s="117" t="s">
        <v>539</v>
      </c>
      <c r="C283" s="2"/>
      <c r="D283" s="58"/>
      <c r="E283" s="58"/>
      <c r="F283" s="58"/>
      <c r="G283" s="58"/>
      <c r="H283" s="58"/>
      <c r="I283" s="55"/>
      <c r="J283" s="11"/>
      <c r="K283" s="24"/>
      <c r="L283" s="24"/>
      <c r="M283" s="24"/>
      <c r="N283" s="24"/>
      <c r="O283" s="45"/>
      <c r="P283" s="45"/>
      <c r="Q283" s="45"/>
      <c r="R283" s="45"/>
      <c r="S283" s="46"/>
      <c r="T283" s="60"/>
      <c r="U283" s="122">
        <v>50000</v>
      </c>
      <c r="V283" s="136"/>
      <c r="W283" s="113"/>
    </row>
    <row r="284" spans="1:23" s="114" customFormat="1" ht="21">
      <c r="A284" s="37" t="s">
        <v>604</v>
      </c>
      <c r="B284" s="117" t="s">
        <v>540</v>
      </c>
      <c r="C284" s="2"/>
      <c r="D284" s="58"/>
      <c r="E284" s="58"/>
      <c r="F284" s="58"/>
      <c r="G284" s="58"/>
      <c r="H284" s="58"/>
      <c r="I284" s="55"/>
      <c r="J284" s="11"/>
      <c r="K284" s="24"/>
      <c r="L284" s="24"/>
      <c r="M284" s="24"/>
      <c r="N284" s="24"/>
      <c r="O284" s="45"/>
      <c r="P284" s="45"/>
      <c r="Q284" s="45"/>
      <c r="R284" s="45"/>
      <c r="S284" s="46"/>
      <c r="T284" s="60"/>
      <c r="U284" s="122">
        <v>800000</v>
      </c>
      <c r="V284" s="136"/>
      <c r="W284" s="113"/>
    </row>
    <row r="285" spans="1:23" s="114" customFormat="1" ht="29.25">
      <c r="A285" s="37" t="s">
        <v>605</v>
      </c>
      <c r="B285" s="119" t="s">
        <v>541</v>
      </c>
      <c r="C285" s="2"/>
      <c r="D285" s="58"/>
      <c r="E285" s="58"/>
      <c r="F285" s="58"/>
      <c r="G285" s="58"/>
      <c r="H285" s="58"/>
      <c r="I285" s="55"/>
      <c r="J285" s="11"/>
      <c r="K285" s="24"/>
      <c r="L285" s="24"/>
      <c r="M285" s="24"/>
      <c r="N285" s="24"/>
      <c r="O285" s="45"/>
      <c r="P285" s="45"/>
      <c r="Q285" s="45"/>
      <c r="R285" s="45"/>
      <c r="S285" s="46"/>
      <c r="T285" s="60"/>
      <c r="U285" s="122">
        <v>150000</v>
      </c>
      <c r="V285" s="136"/>
      <c r="W285" s="113"/>
    </row>
    <row r="286" spans="1:23" s="114" customFormat="1" ht="21">
      <c r="A286" s="37" t="s">
        <v>606</v>
      </c>
      <c r="B286" s="117" t="s">
        <v>542</v>
      </c>
      <c r="C286" s="2"/>
      <c r="D286" s="58"/>
      <c r="E286" s="58"/>
      <c r="F286" s="58"/>
      <c r="G286" s="58"/>
      <c r="H286" s="58"/>
      <c r="I286" s="55"/>
      <c r="J286" s="11"/>
      <c r="K286" s="24"/>
      <c r="L286" s="24"/>
      <c r="M286" s="24"/>
      <c r="N286" s="24"/>
      <c r="O286" s="45"/>
      <c r="P286" s="45"/>
      <c r="Q286" s="45"/>
      <c r="R286" s="45"/>
      <c r="S286" s="46"/>
      <c r="T286" s="60"/>
      <c r="U286" s="122">
        <v>100000</v>
      </c>
      <c r="V286" s="136"/>
      <c r="W286" s="113"/>
    </row>
    <row r="287" spans="1:23" s="114" customFormat="1" ht="21">
      <c r="A287" s="37" t="s">
        <v>607</v>
      </c>
      <c r="B287" s="117" t="s">
        <v>543</v>
      </c>
      <c r="C287" s="2"/>
      <c r="D287" s="58"/>
      <c r="E287" s="58"/>
      <c r="F287" s="58"/>
      <c r="G287" s="58"/>
      <c r="H287" s="58"/>
      <c r="I287" s="55"/>
      <c r="J287" s="11"/>
      <c r="K287" s="24"/>
      <c r="L287" s="24"/>
      <c r="M287" s="24"/>
      <c r="N287" s="24"/>
      <c r="O287" s="45"/>
      <c r="P287" s="45"/>
      <c r="Q287" s="45"/>
      <c r="R287" s="45"/>
      <c r="S287" s="46"/>
      <c r="T287" s="60"/>
      <c r="U287" s="122">
        <v>50000</v>
      </c>
      <c r="V287" s="136"/>
      <c r="W287" s="113"/>
    </row>
    <row r="288" spans="1:23">
      <c r="A288" s="35" t="s">
        <v>364</v>
      </c>
      <c r="B288" s="3" t="s">
        <v>288</v>
      </c>
      <c r="C288" s="2"/>
      <c r="D288" s="58"/>
      <c r="E288" s="58"/>
      <c r="F288" s="58"/>
      <c r="G288" s="58"/>
      <c r="H288" s="58"/>
      <c r="I288" s="55"/>
      <c r="J288" s="11"/>
      <c r="K288" s="24"/>
      <c r="L288" s="24"/>
      <c r="M288" s="24"/>
      <c r="N288" s="24"/>
      <c r="O288" s="45"/>
      <c r="P288" s="45"/>
      <c r="Q288" s="45"/>
      <c r="R288" s="45"/>
      <c r="S288" s="60"/>
      <c r="T288" s="60"/>
      <c r="U288" s="45"/>
      <c r="V288" s="82"/>
    </row>
    <row r="289" spans="1:23" s="124" customFormat="1" ht="20.25">
      <c r="A289" s="37" t="s">
        <v>608</v>
      </c>
      <c r="B289" s="117" t="s">
        <v>544</v>
      </c>
      <c r="C289" s="2"/>
      <c r="D289" s="58"/>
      <c r="E289" s="58"/>
      <c r="F289" s="58"/>
      <c r="G289" s="58"/>
      <c r="H289" s="58"/>
      <c r="I289" s="55"/>
      <c r="J289" s="11"/>
      <c r="K289" s="24"/>
      <c r="L289" s="24"/>
      <c r="M289" s="24"/>
      <c r="N289" s="24"/>
      <c r="O289" s="45"/>
      <c r="P289" s="45"/>
      <c r="Q289" s="45"/>
      <c r="R289" s="45"/>
      <c r="S289" s="46"/>
      <c r="T289" s="60"/>
      <c r="U289" s="122">
        <v>700000</v>
      </c>
      <c r="V289" s="132"/>
    </row>
    <row r="290" spans="1:23" s="124" customFormat="1" ht="20.25">
      <c r="A290" s="37" t="s">
        <v>609</v>
      </c>
      <c r="B290" s="117" t="s">
        <v>545</v>
      </c>
      <c r="C290" s="2"/>
      <c r="D290" s="58"/>
      <c r="E290" s="58"/>
      <c r="F290" s="58"/>
      <c r="G290" s="58"/>
      <c r="H290" s="58"/>
      <c r="I290" s="55"/>
      <c r="J290" s="11"/>
      <c r="K290" s="24"/>
      <c r="L290" s="24"/>
      <c r="M290" s="24"/>
      <c r="N290" s="24"/>
      <c r="O290" s="45"/>
      <c r="P290" s="45"/>
      <c r="Q290" s="45"/>
      <c r="R290" s="45"/>
      <c r="S290" s="46"/>
      <c r="T290" s="60"/>
      <c r="U290" s="122">
        <v>1500000</v>
      </c>
      <c r="V290" s="132"/>
    </row>
    <row r="291" spans="1:23" s="124" customFormat="1" ht="20.25">
      <c r="A291" s="37" t="s">
        <v>610</v>
      </c>
      <c r="B291" s="117" t="s">
        <v>546</v>
      </c>
      <c r="C291" s="2"/>
      <c r="D291" s="58"/>
      <c r="E291" s="58"/>
      <c r="F291" s="58"/>
      <c r="G291" s="58"/>
      <c r="H291" s="58"/>
      <c r="I291" s="55"/>
      <c r="J291" s="11"/>
      <c r="K291" s="24"/>
      <c r="L291" s="24"/>
      <c r="M291" s="24"/>
      <c r="N291" s="24"/>
      <c r="O291" s="45"/>
      <c r="P291" s="45"/>
      <c r="Q291" s="45"/>
      <c r="R291" s="45"/>
      <c r="S291" s="46"/>
      <c r="T291" s="60"/>
      <c r="U291" s="122">
        <v>1500000</v>
      </c>
      <c r="V291" s="132"/>
    </row>
    <row r="292" spans="1:23" s="124" customFormat="1" ht="20.25">
      <c r="A292" s="37" t="s">
        <v>611</v>
      </c>
      <c r="B292" s="117" t="s">
        <v>547</v>
      </c>
      <c r="C292" s="2"/>
      <c r="D292" s="58"/>
      <c r="E292" s="58"/>
      <c r="F292" s="58"/>
      <c r="G292" s="58"/>
      <c r="H292" s="58"/>
      <c r="I292" s="55"/>
      <c r="J292" s="11"/>
      <c r="K292" s="24"/>
      <c r="L292" s="24"/>
      <c r="M292" s="24"/>
      <c r="N292" s="24"/>
      <c r="O292" s="45"/>
      <c r="P292" s="45"/>
      <c r="Q292" s="45"/>
      <c r="R292" s="45"/>
      <c r="S292" s="46"/>
      <c r="T292" s="60"/>
      <c r="U292" s="122">
        <v>1300000</v>
      </c>
      <c r="V292" s="132"/>
    </row>
    <row r="293" spans="1:23" s="124" customFormat="1" ht="20.25">
      <c r="A293" s="37" t="s">
        <v>612</v>
      </c>
      <c r="B293" s="117" t="s">
        <v>548</v>
      </c>
      <c r="C293" s="2"/>
      <c r="D293" s="58"/>
      <c r="E293" s="58"/>
      <c r="F293" s="58"/>
      <c r="G293" s="58"/>
      <c r="H293" s="58"/>
      <c r="I293" s="55"/>
      <c r="J293" s="11"/>
      <c r="K293" s="24"/>
      <c r="L293" s="24"/>
      <c r="M293" s="24"/>
      <c r="N293" s="24"/>
      <c r="O293" s="45"/>
      <c r="P293" s="45"/>
      <c r="Q293" s="45"/>
      <c r="R293" s="45"/>
      <c r="S293" s="46"/>
      <c r="T293" s="60"/>
      <c r="U293" s="122">
        <v>1500000</v>
      </c>
      <c r="V293" s="132"/>
    </row>
    <row r="294" spans="1:23" s="114" customFormat="1" ht="21">
      <c r="A294" s="37" t="s">
        <v>613</v>
      </c>
      <c r="B294" s="117" t="s">
        <v>549</v>
      </c>
      <c r="C294" s="2"/>
      <c r="D294" s="58"/>
      <c r="E294" s="58"/>
      <c r="F294" s="58"/>
      <c r="G294" s="58"/>
      <c r="H294" s="58"/>
      <c r="I294" s="55"/>
      <c r="J294" s="11"/>
      <c r="K294" s="24"/>
      <c r="L294" s="24"/>
      <c r="M294" s="24"/>
      <c r="N294" s="24"/>
      <c r="O294" s="45"/>
      <c r="P294" s="45"/>
      <c r="Q294" s="45"/>
      <c r="R294" s="45"/>
      <c r="S294" s="46"/>
      <c r="T294" s="60"/>
      <c r="U294" s="127" t="s">
        <v>486</v>
      </c>
      <c r="V294" s="133"/>
    </row>
    <row r="295" spans="1:23">
      <c r="A295" s="37" t="s">
        <v>365</v>
      </c>
      <c r="B295" s="4" t="s">
        <v>173</v>
      </c>
      <c r="C295" s="2"/>
      <c r="D295" s="58"/>
      <c r="E295" s="58"/>
      <c r="F295" s="58"/>
      <c r="G295" s="58"/>
      <c r="H295" s="58"/>
      <c r="I295" s="55"/>
      <c r="J295" s="11"/>
      <c r="K295" s="24"/>
      <c r="L295" s="24"/>
      <c r="M295" s="24"/>
      <c r="N295" s="24"/>
      <c r="O295" s="45"/>
      <c r="P295" s="45"/>
      <c r="Q295" s="45"/>
      <c r="R295" s="45">
        <v>11988000</v>
      </c>
      <c r="S295" s="46">
        <v>3428733.65000004</v>
      </c>
      <c r="T295" s="60"/>
      <c r="U295" s="45">
        <v>1000000</v>
      </c>
      <c r="V295" s="82"/>
      <c r="W295" s="92"/>
    </row>
    <row r="296" spans="1:23">
      <c r="A296" s="37" t="s">
        <v>366</v>
      </c>
      <c r="B296" s="4" t="s">
        <v>174</v>
      </c>
      <c r="C296" s="2"/>
      <c r="D296" s="58"/>
      <c r="E296" s="58"/>
      <c r="F296" s="58"/>
      <c r="G296" s="58"/>
      <c r="H296" s="58"/>
      <c r="I296" s="55"/>
      <c r="J296" s="11"/>
      <c r="K296" s="24"/>
      <c r="L296" s="24"/>
      <c r="M296" s="24"/>
      <c r="N296" s="24"/>
      <c r="O296" s="45"/>
      <c r="P296" s="45"/>
      <c r="Q296" s="45"/>
      <c r="R296" s="45">
        <v>1000000</v>
      </c>
      <c r="S296" s="46">
        <v>1000000</v>
      </c>
      <c r="T296" s="60"/>
      <c r="U296" s="45">
        <v>1250000</v>
      </c>
      <c r="V296" s="82"/>
    </row>
    <row r="297" spans="1:23">
      <c r="A297" s="37" t="s">
        <v>367</v>
      </c>
      <c r="B297" s="4" t="s">
        <v>338</v>
      </c>
      <c r="C297" s="2"/>
      <c r="D297" s="58"/>
      <c r="E297" s="58"/>
      <c r="F297" s="58"/>
      <c r="G297" s="58"/>
      <c r="H297" s="58"/>
      <c r="I297" s="55"/>
      <c r="J297" s="11"/>
      <c r="K297" s="24"/>
      <c r="L297" s="24"/>
      <c r="M297" s="24"/>
      <c r="N297" s="24"/>
      <c r="O297" s="45"/>
      <c r="P297" s="45"/>
      <c r="Q297" s="45"/>
      <c r="R297" s="45">
        <v>1000000</v>
      </c>
      <c r="S297" s="46">
        <v>1000000</v>
      </c>
      <c r="T297" s="60"/>
      <c r="U297" s="45">
        <v>1250000</v>
      </c>
      <c r="V297" s="82"/>
    </row>
    <row r="298" spans="1:23">
      <c r="A298" s="37" t="s">
        <v>170</v>
      </c>
      <c r="B298" s="4" t="s">
        <v>339</v>
      </c>
      <c r="C298" s="2"/>
      <c r="D298" s="58"/>
      <c r="E298" s="58"/>
      <c r="F298" s="58"/>
      <c r="G298" s="58"/>
      <c r="H298" s="58"/>
      <c r="I298" s="55"/>
      <c r="J298" s="11"/>
      <c r="K298" s="24"/>
      <c r="L298" s="24"/>
      <c r="M298" s="24"/>
      <c r="N298" s="24"/>
      <c r="O298" s="45"/>
      <c r="P298" s="45"/>
      <c r="Q298" s="45"/>
      <c r="R298" s="45">
        <v>3100000</v>
      </c>
      <c r="S298" s="46">
        <v>3100000</v>
      </c>
      <c r="T298" s="60"/>
      <c r="U298" s="45"/>
      <c r="V298" s="82"/>
    </row>
    <row r="299" spans="1:23" ht="36">
      <c r="A299" s="37" t="s">
        <v>171</v>
      </c>
      <c r="B299" s="42" t="s">
        <v>175</v>
      </c>
      <c r="C299" s="2"/>
      <c r="D299" s="58"/>
      <c r="E299" s="58"/>
      <c r="F299" s="58"/>
      <c r="G299" s="58"/>
      <c r="H299" s="58"/>
      <c r="I299" s="55"/>
      <c r="J299" s="11"/>
      <c r="K299" s="24"/>
      <c r="L299" s="24"/>
      <c r="M299" s="24"/>
      <c r="N299" s="24"/>
      <c r="O299" s="45"/>
      <c r="P299" s="45"/>
      <c r="Q299" s="45"/>
      <c r="R299" s="45"/>
      <c r="S299" s="45">
        <v>12000000</v>
      </c>
      <c r="T299" s="60"/>
      <c r="U299" s="45">
        <v>0</v>
      </c>
      <c r="V299" s="82"/>
    </row>
    <row r="300" spans="1:23">
      <c r="A300" s="37" t="s">
        <v>172</v>
      </c>
      <c r="B300" s="4" t="s">
        <v>287</v>
      </c>
      <c r="C300" s="2"/>
      <c r="D300" s="58"/>
      <c r="E300" s="58"/>
      <c r="F300" s="58"/>
      <c r="G300" s="58"/>
      <c r="H300" s="58"/>
      <c r="I300" s="55"/>
      <c r="J300" s="11"/>
      <c r="K300" s="24"/>
      <c r="L300" s="24"/>
      <c r="M300" s="24"/>
      <c r="N300" s="24"/>
      <c r="O300" s="45"/>
      <c r="P300" s="45"/>
      <c r="Q300" s="45"/>
      <c r="R300" s="45"/>
      <c r="S300" s="45">
        <v>3431100</v>
      </c>
      <c r="T300" s="60"/>
      <c r="U300" s="45">
        <v>3431100</v>
      </c>
      <c r="V300" s="82"/>
    </row>
    <row r="301" spans="1:23">
      <c r="A301" s="37" t="s">
        <v>177</v>
      </c>
      <c r="B301" s="4" t="s">
        <v>176</v>
      </c>
      <c r="C301" s="2"/>
      <c r="D301" s="58"/>
      <c r="E301" s="58"/>
      <c r="F301" s="58"/>
      <c r="G301" s="58"/>
      <c r="H301" s="58"/>
      <c r="I301" s="55"/>
      <c r="J301" s="11"/>
      <c r="K301" s="24"/>
      <c r="L301" s="24"/>
      <c r="M301" s="24"/>
      <c r="N301" s="24"/>
      <c r="O301" s="45"/>
      <c r="P301" s="45"/>
      <c r="Q301" s="45"/>
      <c r="R301" s="45"/>
      <c r="S301" s="45">
        <v>1020000</v>
      </c>
      <c r="T301" s="78"/>
      <c r="U301" s="45">
        <v>1020000</v>
      </c>
      <c r="V301" s="82"/>
    </row>
    <row r="302" spans="1:23">
      <c r="A302" s="37" t="s">
        <v>179</v>
      </c>
      <c r="B302" s="4" t="s">
        <v>178</v>
      </c>
      <c r="C302" s="2"/>
      <c r="D302" s="58"/>
      <c r="E302" s="58"/>
      <c r="F302" s="58"/>
      <c r="G302" s="58"/>
      <c r="H302" s="58"/>
      <c r="I302" s="55"/>
      <c r="J302" s="11"/>
      <c r="K302" s="24"/>
      <c r="L302" s="24"/>
      <c r="M302" s="24"/>
      <c r="N302" s="24"/>
      <c r="O302" s="45"/>
      <c r="P302" s="45"/>
      <c r="Q302" s="45"/>
      <c r="R302" s="45"/>
      <c r="S302" s="45">
        <v>624000</v>
      </c>
      <c r="T302" s="60"/>
      <c r="U302" s="45">
        <v>624000</v>
      </c>
      <c r="V302" s="82"/>
    </row>
    <row r="303" spans="1:23">
      <c r="A303" s="37" t="s">
        <v>181</v>
      </c>
      <c r="B303" s="4" t="s">
        <v>284</v>
      </c>
      <c r="C303" s="2"/>
      <c r="D303" s="58"/>
      <c r="E303" s="58"/>
      <c r="F303" s="58"/>
      <c r="G303" s="58"/>
      <c r="H303" s="58"/>
      <c r="I303" s="55"/>
      <c r="J303" s="11"/>
      <c r="K303" s="24"/>
      <c r="L303" s="24"/>
      <c r="M303" s="24"/>
      <c r="N303" s="24"/>
      <c r="O303" s="45"/>
      <c r="P303" s="45"/>
      <c r="Q303" s="45"/>
      <c r="R303" s="45"/>
      <c r="S303" s="60">
        <v>431540</v>
      </c>
      <c r="T303" s="60"/>
      <c r="U303" s="45">
        <v>0</v>
      </c>
      <c r="V303" s="82"/>
    </row>
    <row r="304" spans="1:23">
      <c r="A304" s="37" t="s">
        <v>285</v>
      </c>
      <c r="B304" s="4" t="s">
        <v>286</v>
      </c>
      <c r="C304" s="2"/>
      <c r="D304" s="58"/>
      <c r="E304" s="58"/>
      <c r="F304" s="58"/>
      <c r="G304" s="58"/>
      <c r="H304" s="58"/>
      <c r="I304" s="55"/>
      <c r="J304" s="11"/>
      <c r="K304" s="24"/>
      <c r="L304" s="24"/>
      <c r="M304" s="24"/>
      <c r="N304" s="24"/>
      <c r="O304" s="45"/>
      <c r="P304" s="45"/>
      <c r="Q304" s="45"/>
      <c r="R304" s="45"/>
      <c r="S304" s="60">
        <v>470000</v>
      </c>
      <c r="T304" s="60"/>
      <c r="U304" s="45"/>
      <c r="V304" s="82"/>
    </row>
    <row r="305" spans="1:22">
      <c r="A305" s="37" t="s">
        <v>291</v>
      </c>
      <c r="B305" s="4" t="s">
        <v>289</v>
      </c>
      <c r="C305" s="2"/>
      <c r="D305" s="58"/>
      <c r="E305" s="58"/>
      <c r="F305" s="58"/>
      <c r="G305" s="58"/>
      <c r="H305" s="58"/>
      <c r="I305" s="55"/>
      <c r="J305" s="11"/>
      <c r="K305" s="24"/>
      <c r="L305" s="24"/>
      <c r="M305" s="24"/>
      <c r="N305" s="24"/>
      <c r="O305" s="45"/>
      <c r="P305" s="45"/>
      <c r="Q305" s="45"/>
      <c r="R305" s="45"/>
      <c r="S305" s="60"/>
      <c r="T305" s="60"/>
      <c r="U305" s="45">
        <v>3000000</v>
      </c>
      <c r="V305" s="82"/>
    </row>
    <row r="306" spans="1:22">
      <c r="A306" s="37" t="s">
        <v>292</v>
      </c>
      <c r="B306" s="4" t="s">
        <v>290</v>
      </c>
      <c r="C306" s="2"/>
      <c r="D306" s="58"/>
      <c r="E306" s="58"/>
      <c r="F306" s="58"/>
      <c r="G306" s="58"/>
      <c r="H306" s="58"/>
      <c r="I306" s="55"/>
      <c r="J306" s="11"/>
      <c r="K306" s="24"/>
      <c r="L306" s="24"/>
      <c r="M306" s="24"/>
      <c r="N306" s="24"/>
      <c r="O306" s="45"/>
      <c r="P306" s="45"/>
      <c r="Q306" s="45"/>
      <c r="R306" s="45"/>
      <c r="S306" s="60"/>
      <c r="T306" s="60"/>
      <c r="U306" s="45">
        <v>4000000</v>
      </c>
      <c r="V306" s="82"/>
    </row>
    <row r="307" spans="1:22">
      <c r="A307" s="35" t="s">
        <v>111</v>
      </c>
      <c r="B307" s="4" t="s">
        <v>112</v>
      </c>
      <c r="C307" s="59"/>
      <c r="D307" s="59"/>
      <c r="E307" s="59"/>
      <c r="F307" s="59"/>
      <c r="G307" s="59">
        <v>0</v>
      </c>
      <c r="H307" s="59">
        <v>0</v>
      </c>
      <c r="I307" s="60"/>
      <c r="J307" s="60">
        <v>0</v>
      </c>
      <c r="K307" s="60"/>
      <c r="L307" s="60"/>
      <c r="M307" s="25"/>
      <c r="N307" s="25"/>
      <c r="O307" s="25"/>
      <c r="P307" s="25"/>
      <c r="Q307" s="25"/>
      <c r="R307" s="25"/>
      <c r="S307" s="25"/>
      <c r="T307" s="55"/>
      <c r="U307" s="45"/>
      <c r="V307" s="82"/>
    </row>
    <row r="308" spans="1:22" ht="36">
      <c r="A308" s="35" t="s">
        <v>113</v>
      </c>
      <c r="B308" s="38" t="s">
        <v>114</v>
      </c>
      <c r="C308" s="59"/>
      <c r="D308" s="59"/>
      <c r="E308" s="59"/>
      <c r="F308" s="59"/>
      <c r="G308" s="59">
        <v>0</v>
      </c>
      <c r="H308" s="59">
        <v>0</v>
      </c>
      <c r="I308" s="60"/>
      <c r="J308" s="60">
        <v>0</v>
      </c>
      <c r="K308" s="60"/>
      <c r="L308" s="60"/>
      <c r="M308" s="25"/>
      <c r="N308" s="25"/>
      <c r="O308" s="25"/>
      <c r="P308" s="25"/>
      <c r="Q308" s="25"/>
      <c r="R308" s="25"/>
      <c r="S308" s="25"/>
      <c r="T308" s="55"/>
      <c r="U308" s="45"/>
      <c r="V308" s="82"/>
    </row>
    <row r="309" spans="1:22" s="90" customFormat="1">
      <c r="A309" s="97" t="s">
        <v>156</v>
      </c>
      <c r="B309" s="103" t="s">
        <v>196</v>
      </c>
      <c r="C309" s="98">
        <v>3043462.2</v>
      </c>
      <c r="D309" s="128">
        <v>11086907.25</v>
      </c>
      <c r="E309" s="128">
        <v>8740309</v>
      </c>
      <c r="F309" s="128">
        <v>6919009</v>
      </c>
      <c r="G309" s="128">
        <v>7476000</v>
      </c>
      <c r="H309" s="128">
        <v>7353111</v>
      </c>
      <c r="I309" s="129">
        <v>7930000</v>
      </c>
      <c r="J309" s="31">
        <v>1442040</v>
      </c>
      <c r="K309" s="99">
        <v>2108778</v>
      </c>
      <c r="L309" s="129">
        <v>8500000</v>
      </c>
      <c r="M309" s="99">
        <v>4197003.9000000004</v>
      </c>
      <c r="N309" s="65">
        <v>7500000</v>
      </c>
      <c r="O309" s="65">
        <f>7153842.9+46308</f>
        <v>7200150.9000000004</v>
      </c>
      <c r="P309" s="65">
        <v>9350000</v>
      </c>
      <c r="Q309" s="65">
        <v>8940262.5</v>
      </c>
      <c r="R309" s="99" t="e">
        <f>#REF!</f>
        <v>#REF!</v>
      </c>
      <c r="S309" s="65">
        <f>SUM(S310:S323)</f>
        <v>10750000</v>
      </c>
      <c r="T309" s="55" t="e">
        <f>#REF!</f>
        <v>#REF!</v>
      </c>
      <c r="U309" s="65">
        <v>938250</v>
      </c>
      <c r="V309" s="134"/>
    </row>
    <row r="310" spans="1:22" s="90" customFormat="1" hidden="1">
      <c r="A310" s="97" t="s">
        <v>368</v>
      </c>
      <c r="B310" s="67" t="s">
        <v>340</v>
      </c>
      <c r="C310" s="10"/>
      <c r="D310" s="88"/>
      <c r="E310" s="88"/>
      <c r="F310" s="88"/>
      <c r="G310" s="88"/>
      <c r="H310" s="88"/>
      <c r="I310" s="89"/>
      <c r="J310" s="26"/>
      <c r="K310" s="46"/>
      <c r="L310" s="89"/>
      <c r="M310" s="46"/>
      <c r="N310" s="45"/>
      <c r="O310" s="45"/>
      <c r="P310" s="45"/>
      <c r="Q310" s="45"/>
      <c r="R310" s="46"/>
      <c r="S310" s="45">
        <v>3700000</v>
      </c>
      <c r="T310" s="96"/>
      <c r="U310" s="45">
        <v>3700000</v>
      </c>
      <c r="V310" s="134"/>
    </row>
    <row r="311" spans="1:22" s="90" customFormat="1" hidden="1">
      <c r="A311" s="97" t="s">
        <v>369</v>
      </c>
      <c r="B311" s="67" t="s">
        <v>341</v>
      </c>
      <c r="C311" s="10"/>
      <c r="D311" s="88"/>
      <c r="E311" s="88"/>
      <c r="F311" s="88"/>
      <c r="G311" s="88"/>
      <c r="H311" s="88"/>
      <c r="I311" s="89"/>
      <c r="J311" s="26"/>
      <c r="K311" s="46"/>
      <c r="L311" s="89"/>
      <c r="M311" s="46"/>
      <c r="N311" s="45"/>
      <c r="O311" s="45"/>
      <c r="P311" s="45"/>
      <c r="Q311" s="45"/>
      <c r="R311" s="46"/>
      <c r="S311" s="45">
        <v>150000</v>
      </c>
      <c r="T311" s="96"/>
      <c r="U311" s="45"/>
      <c r="V311" s="134"/>
    </row>
    <row r="312" spans="1:22" s="90" customFormat="1" ht="30" hidden="1">
      <c r="A312" s="97" t="s">
        <v>370</v>
      </c>
      <c r="B312" s="67" t="s">
        <v>342</v>
      </c>
      <c r="C312" s="10"/>
      <c r="D312" s="88"/>
      <c r="E312" s="88"/>
      <c r="F312" s="88"/>
      <c r="G312" s="88"/>
      <c r="H312" s="88"/>
      <c r="I312" s="89"/>
      <c r="J312" s="26"/>
      <c r="K312" s="46"/>
      <c r="L312" s="89"/>
      <c r="M312" s="46"/>
      <c r="N312" s="45"/>
      <c r="O312" s="45"/>
      <c r="P312" s="45"/>
      <c r="Q312" s="45"/>
      <c r="R312" s="46"/>
      <c r="S312" s="45">
        <v>0</v>
      </c>
      <c r="T312" s="96"/>
      <c r="U312" s="45"/>
      <c r="V312" s="134"/>
    </row>
    <row r="313" spans="1:22" s="90" customFormat="1" hidden="1">
      <c r="A313" s="97" t="s">
        <v>371</v>
      </c>
      <c r="B313" s="67" t="s">
        <v>343</v>
      </c>
      <c r="C313" s="10"/>
      <c r="D313" s="88"/>
      <c r="E313" s="88"/>
      <c r="F313" s="88"/>
      <c r="G313" s="88"/>
      <c r="H313" s="88"/>
      <c r="I313" s="89"/>
      <c r="J313" s="26"/>
      <c r="K313" s="46"/>
      <c r="L313" s="89"/>
      <c r="M313" s="46"/>
      <c r="N313" s="45"/>
      <c r="O313" s="45"/>
      <c r="P313" s="45"/>
      <c r="Q313" s="45"/>
      <c r="R313" s="46"/>
      <c r="S313" s="45">
        <v>450000</v>
      </c>
      <c r="T313" s="96"/>
      <c r="U313" s="45">
        <v>450000</v>
      </c>
      <c r="V313" s="134"/>
    </row>
    <row r="314" spans="1:22" s="90" customFormat="1" ht="30" hidden="1">
      <c r="A314" s="97" t="s">
        <v>372</v>
      </c>
      <c r="B314" s="67" t="s">
        <v>356</v>
      </c>
      <c r="C314" s="10"/>
      <c r="D314" s="88"/>
      <c r="E314" s="88"/>
      <c r="F314" s="88"/>
      <c r="G314" s="88"/>
      <c r="H314" s="88"/>
      <c r="I314" s="89"/>
      <c r="J314" s="26"/>
      <c r="K314" s="46"/>
      <c r="L314" s="89"/>
      <c r="M314" s="46"/>
      <c r="N314" s="45"/>
      <c r="O314" s="45"/>
      <c r="P314" s="45"/>
      <c r="Q314" s="45"/>
      <c r="R314" s="46"/>
      <c r="S314" s="45">
        <v>650000</v>
      </c>
      <c r="T314" s="96"/>
      <c r="U314" s="45">
        <v>300000</v>
      </c>
      <c r="V314" s="134"/>
    </row>
    <row r="315" spans="1:22" s="90" customFormat="1" ht="30" hidden="1">
      <c r="A315" s="97" t="s">
        <v>373</v>
      </c>
      <c r="B315" s="67" t="s">
        <v>344</v>
      </c>
      <c r="C315" s="10"/>
      <c r="D315" s="88"/>
      <c r="E315" s="88"/>
      <c r="F315" s="88"/>
      <c r="G315" s="88"/>
      <c r="H315" s="88"/>
      <c r="I315" s="89"/>
      <c r="J315" s="26"/>
      <c r="K315" s="46"/>
      <c r="L315" s="89"/>
      <c r="M315" s="46"/>
      <c r="N315" s="45"/>
      <c r="O315" s="45"/>
      <c r="P315" s="45"/>
      <c r="Q315" s="45"/>
      <c r="R315" s="46"/>
      <c r="S315" s="45">
        <v>200000</v>
      </c>
      <c r="T315" s="96"/>
      <c r="U315" s="45">
        <v>175000</v>
      </c>
      <c r="V315" s="134"/>
    </row>
    <row r="316" spans="1:22" s="90" customFormat="1" ht="30" hidden="1">
      <c r="A316" s="97" t="s">
        <v>374</v>
      </c>
      <c r="B316" s="67" t="s">
        <v>345</v>
      </c>
      <c r="C316" s="10"/>
      <c r="D316" s="88"/>
      <c r="E316" s="88"/>
      <c r="F316" s="88"/>
      <c r="G316" s="88"/>
      <c r="H316" s="88"/>
      <c r="I316" s="89"/>
      <c r="J316" s="26"/>
      <c r="K316" s="46"/>
      <c r="L316" s="89"/>
      <c r="M316" s="46"/>
      <c r="N316" s="45"/>
      <c r="O316" s="45"/>
      <c r="P316" s="45"/>
      <c r="Q316" s="45"/>
      <c r="R316" s="46"/>
      <c r="S316" s="45">
        <v>250000</v>
      </c>
      <c r="T316" s="96"/>
      <c r="U316" s="45">
        <v>150000</v>
      </c>
      <c r="V316" s="134"/>
    </row>
    <row r="317" spans="1:22" s="90" customFormat="1" hidden="1">
      <c r="A317" s="97" t="s">
        <v>375</v>
      </c>
      <c r="B317" s="67" t="s">
        <v>349</v>
      </c>
      <c r="C317" s="10"/>
      <c r="D317" s="88"/>
      <c r="E317" s="88"/>
      <c r="F317" s="88"/>
      <c r="G317" s="88"/>
      <c r="H317" s="88"/>
      <c r="I317" s="89"/>
      <c r="J317" s="26"/>
      <c r="K317" s="46"/>
      <c r="L317" s="89"/>
      <c r="M317" s="46"/>
      <c r="N317" s="45"/>
      <c r="O317" s="45"/>
      <c r="P317" s="45"/>
      <c r="Q317" s="45"/>
      <c r="R317" s="46"/>
      <c r="S317" s="45">
        <v>200000</v>
      </c>
      <c r="T317" s="96"/>
      <c r="U317" s="45">
        <v>100000</v>
      </c>
      <c r="V317" s="134"/>
    </row>
    <row r="318" spans="1:22" s="90" customFormat="1" hidden="1">
      <c r="A318" s="97" t="s">
        <v>376</v>
      </c>
      <c r="B318" s="67" t="s">
        <v>350</v>
      </c>
      <c r="C318" s="10"/>
      <c r="D318" s="88"/>
      <c r="E318" s="88"/>
      <c r="F318" s="88"/>
      <c r="G318" s="88"/>
      <c r="H318" s="88"/>
      <c r="I318" s="89"/>
      <c r="J318" s="26"/>
      <c r="K318" s="46"/>
      <c r="L318" s="89"/>
      <c r="M318" s="46"/>
      <c r="N318" s="45"/>
      <c r="O318" s="45"/>
      <c r="P318" s="45"/>
      <c r="Q318" s="45"/>
      <c r="R318" s="46"/>
      <c r="S318" s="45">
        <v>300000</v>
      </c>
      <c r="T318" s="96"/>
      <c r="U318" s="45">
        <v>100000</v>
      </c>
      <c r="V318" s="134"/>
    </row>
    <row r="319" spans="1:22" s="90" customFormat="1" hidden="1">
      <c r="A319" s="97" t="s">
        <v>377</v>
      </c>
      <c r="B319" s="67" t="s">
        <v>351</v>
      </c>
      <c r="C319" s="10"/>
      <c r="D319" s="88"/>
      <c r="E319" s="88"/>
      <c r="F319" s="88"/>
      <c r="G319" s="88"/>
      <c r="H319" s="88"/>
      <c r="I319" s="89"/>
      <c r="J319" s="26"/>
      <c r="K319" s="46"/>
      <c r="L319" s="89"/>
      <c r="M319" s="46"/>
      <c r="N319" s="45"/>
      <c r="O319" s="45"/>
      <c r="P319" s="45"/>
      <c r="Q319" s="45"/>
      <c r="R319" s="46"/>
      <c r="S319" s="45">
        <v>100000</v>
      </c>
      <c r="T319" s="96"/>
      <c r="U319" s="45">
        <v>100000</v>
      </c>
      <c r="V319" s="134"/>
    </row>
    <row r="320" spans="1:22" s="90" customFormat="1" ht="30" hidden="1">
      <c r="A320" s="97" t="s">
        <v>378</v>
      </c>
      <c r="B320" s="67" t="s">
        <v>352</v>
      </c>
      <c r="C320" s="10"/>
      <c r="D320" s="88"/>
      <c r="E320" s="88"/>
      <c r="F320" s="88"/>
      <c r="G320" s="88"/>
      <c r="H320" s="88"/>
      <c r="I320" s="89"/>
      <c r="J320" s="26"/>
      <c r="K320" s="46"/>
      <c r="L320" s="89"/>
      <c r="M320" s="46"/>
      <c r="N320" s="45"/>
      <c r="O320" s="45"/>
      <c r="P320" s="45"/>
      <c r="Q320" s="45"/>
      <c r="R320" s="46"/>
      <c r="S320" s="45">
        <v>500000</v>
      </c>
      <c r="T320" s="96"/>
      <c r="U320" s="45">
        <v>100000</v>
      </c>
      <c r="V320" s="134"/>
    </row>
    <row r="321" spans="1:22" s="90" customFormat="1" hidden="1">
      <c r="A321" s="97" t="s">
        <v>379</v>
      </c>
      <c r="B321" s="67" t="s">
        <v>353</v>
      </c>
      <c r="C321" s="10"/>
      <c r="D321" s="88"/>
      <c r="E321" s="88"/>
      <c r="F321" s="88"/>
      <c r="G321" s="88"/>
      <c r="H321" s="88"/>
      <c r="I321" s="89"/>
      <c r="J321" s="26"/>
      <c r="K321" s="46"/>
      <c r="L321" s="89"/>
      <c r="M321" s="46"/>
      <c r="N321" s="45"/>
      <c r="O321" s="45"/>
      <c r="P321" s="45"/>
      <c r="Q321" s="45"/>
      <c r="R321" s="46"/>
      <c r="S321" s="45">
        <v>300000</v>
      </c>
      <c r="T321" s="96"/>
      <c r="U321" s="45">
        <v>0</v>
      </c>
      <c r="V321" s="134"/>
    </row>
    <row r="322" spans="1:22" s="90" customFormat="1" hidden="1">
      <c r="A322" s="97" t="s">
        <v>380</v>
      </c>
      <c r="B322" s="67" t="s">
        <v>354</v>
      </c>
      <c r="C322" s="10"/>
      <c r="D322" s="88"/>
      <c r="E322" s="88"/>
      <c r="F322" s="88"/>
      <c r="G322" s="88"/>
      <c r="H322" s="88"/>
      <c r="I322" s="89"/>
      <c r="J322" s="26"/>
      <c r="K322" s="46"/>
      <c r="L322" s="89"/>
      <c r="M322" s="46"/>
      <c r="N322" s="45"/>
      <c r="O322" s="45"/>
      <c r="P322" s="45"/>
      <c r="Q322" s="45"/>
      <c r="R322" s="46"/>
      <c r="S322" s="45">
        <v>1300000</v>
      </c>
      <c r="T322" s="96"/>
      <c r="U322" s="45"/>
      <c r="V322" s="134"/>
    </row>
    <row r="323" spans="1:22" s="90" customFormat="1" ht="30" hidden="1">
      <c r="A323" s="97" t="s">
        <v>381</v>
      </c>
      <c r="B323" s="67" t="s">
        <v>355</v>
      </c>
      <c r="C323" s="10"/>
      <c r="D323" s="88"/>
      <c r="E323" s="88"/>
      <c r="F323" s="88"/>
      <c r="G323" s="88"/>
      <c r="H323" s="88"/>
      <c r="I323" s="89"/>
      <c r="J323" s="26"/>
      <c r="K323" s="46"/>
      <c r="L323" s="89"/>
      <c r="M323" s="46"/>
      <c r="N323" s="45"/>
      <c r="O323" s="45"/>
      <c r="P323" s="45"/>
      <c r="Q323" s="45"/>
      <c r="R323" s="46"/>
      <c r="S323" s="45">
        <v>2650000</v>
      </c>
      <c r="T323" s="96"/>
      <c r="U323" s="45">
        <v>2650000</v>
      </c>
      <c r="V323" s="134"/>
    </row>
    <row r="324" spans="1:22">
      <c r="A324" s="35" t="s">
        <v>158</v>
      </c>
      <c r="B324" s="104" t="s">
        <v>193</v>
      </c>
      <c r="C324" s="58">
        <v>1626249</v>
      </c>
      <c r="D324" s="58">
        <v>739069</v>
      </c>
      <c r="E324" s="58">
        <v>1515778</v>
      </c>
      <c r="F324" s="58">
        <v>1477974</v>
      </c>
      <c r="G324" s="58">
        <v>1000000</v>
      </c>
      <c r="H324" s="58">
        <v>941045</v>
      </c>
      <c r="I324" s="55">
        <v>1484392.45</v>
      </c>
      <c r="J324" s="24">
        <v>1584171</v>
      </c>
      <c r="K324" s="99">
        <v>1637930</v>
      </c>
      <c r="L324" s="55">
        <v>1500000</v>
      </c>
      <c r="M324" s="65">
        <v>1776785</v>
      </c>
      <c r="N324" s="65">
        <v>2100000</v>
      </c>
      <c r="O324" s="65">
        <v>2058342</v>
      </c>
      <c r="P324" s="65">
        <v>1500000</v>
      </c>
      <c r="Q324" s="65">
        <v>1504988</v>
      </c>
      <c r="R324" s="99" t="e">
        <f>#REF!</f>
        <v>#REF!</v>
      </c>
      <c r="S324" s="65">
        <v>1200000</v>
      </c>
      <c r="T324" s="55" t="e">
        <f>#REF!</f>
        <v>#REF!</v>
      </c>
      <c r="U324" s="65">
        <v>1200000</v>
      </c>
      <c r="V324" s="82"/>
    </row>
    <row r="325" spans="1:22" ht="30">
      <c r="A325" s="97" t="s">
        <v>383</v>
      </c>
      <c r="B325" s="105" t="s">
        <v>184</v>
      </c>
      <c r="C325" s="58"/>
      <c r="D325" s="58"/>
      <c r="E325" s="58"/>
      <c r="F325" s="58"/>
      <c r="G325" s="58"/>
      <c r="H325" s="58"/>
      <c r="I325" s="55"/>
      <c r="J325" s="24"/>
      <c r="K325" s="99"/>
      <c r="L325" s="55"/>
      <c r="M325" s="65"/>
      <c r="N325" s="65"/>
      <c r="O325" s="65"/>
      <c r="P325" s="65">
        <v>4000000</v>
      </c>
      <c r="Q325" s="65">
        <v>4232021</v>
      </c>
      <c r="R325" s="99" t="e">
        <f>#REF!</f>
        <v>#REF!</v>
      </c>
      <c r="S325" s="65">
        <v>4000000</v>
      </c>
      <c r="T325" s="55" t="e">
        <f>#REF!</f>
        <v>#REF!</v>
      </c>
      <c r="U325" s="65">
        <v>4000000</v>
      </c>
      <c r="V325" s="82"/>
    </row>
    <row r="326" spans="1:22">
      <c r="A326" s="146">
        <v>7</v>
      </c>
      <c r="B326" s="153" t="s">
        <v>115</v>
      </c>
      <c r="C326" s="152"/>
      <c r="D326" s="152"/>
      <c r="E326" s="152"/>
      <c r="F326" s="152"/>
      <c r="G326" s="152">
        <v>0</v>
      </c>
      <c r="H326" s="152">
        <v>0</v>
      </c>
      <c r="I326" s="154"/>
      <c r="J326" s="154">
        <v>0</v>
      </c>
      <c r="K326" s="154"/>
      <c r="L326" s="154"/>
      <c r="M326" s="155"/>
      <c r="N326" s="155"/>
      <c r="O326" s="155"/>
      <c r="P326" s="155"/>
      <c r="Q326" s="155"/>
      <c r="R326" s="155"/>
      <c r="S326" s="155"/>
      <c r="T326" s="149"/>
      <c r="U326" s="151"/>
      <c r="V326" s="82"/>
    </row>
    <row r="327" spans="1:22">
      <c r="A327" s="35" t="s">
        <v>116</v>
      </c>
      <c r="B327" s="4" t="s">
        <v>117</v>
      </c>
      <c r="C327" s="59"/>
      <c r="D327" s="59"/>
      <c r="E327" s="59"/>
      <c r="F327" s="59"/>
      <c r="G327" s="59">
        <v>0</v>
      </c>
      <c r="H327" s="59">
        <v>0</v>
      </c>
      <c r="I327" s="60"/>
      <c r="J327" s="60">
        <v>0</v>
      </c>
      <c r="K327" s="60"/>
      <c r="L327" s="60"/>
      <c r="M327" s="25"/>
      <c r="N327" s="25"/>
      <c r="O327" s="25"/>
      <c r="P327" s="25"/>
      <c r="Q327" s="25"/>
      <c r="R327" s="25"/>
      <c r="S327" s="25"/>
      <c r="T327" s="55"/>
      <c r="U327" s="45"/>
      <c r="V327" s="82"/>
    </row>
    <row r="328" spans="1:22">
      <c r="A328" s="35" t="s">
        <v>118</v>
      </c>
      <c r="B328" s="4" t="s">
        <v>119</v>
      </c>
      <c r="C328" s="59"/>
      <c r="D328" s="59"/>
      <c r="E328" s="59"/>
      <c r="F328" s="59"/>
      <c r="G328" s="59">
        <v>0</v>
      </c>
      <c r="H328" s="59">
        <v>0</v>
      </c>
      <c r="I328" s="60"/>
      <c r="J328" s="60">
        <v>0</v>
      </c>
      <c r="K328" s="60"/>
      <c r="L328" s="60"/>
      <c r="M328" s="25"/>
      <c r="N328" s="25"/>
      <c r="O328" s="25"/>
      <c r="P328" s="25"/>
      <c r="Q328" s="25"/>
      <c r="R328" s="25"/>
      <c r="S328" s="25"/>
      <c r="T328" s="55"/>
      <c r="U328" s="45"/>
      <c r="V328" s="82"/>
    </row>
    <row r="329" spans="1:22">
      <c r="A329" s="146">
        <v>8</v>
      </c>
      <c r="B329" s="153" t="s">
        <v>120</v>
      </c>
      <c r="C329" s="152"/>
      <c r="D329" s="152"/>
      <c r="E329" s="152"/>
      <c r="F329" s="152"/>
      <c r="G329" s="152">
        <v>0</v>
      </c>
      <c r="H329" s="152">
        <v>0</v>
      </c>
      <c r="I329" s="154"/>
      <c r="J329" s="154">
        <v>0</v>
      </c>
      <c r="K329" s="154"/>
      <c r="L329" s="154"/>
      <c r="M329" s="155"/>
      <c r="N329" s="155"/>
      <c r="O329" s="155"/>
      <c r="P329" s="155"/>
      <c r="Q329" s="155"/>
      <c r="R329" s="155"/>
      <c r="S329" s="155"/>
      <c r="T329" s="149"/>
      <c r="U329" s="151"/>
      <c r="V329" s="82"/>
    </row>
    <row r="330" spans="1:22" ht="36" hidden="1">
      <c r="A330" s="35" t="s">
        <v>121</v>
      </c>
      <c r="B330" s="38" t="s">
        <v>122</v>
      </c>
      <c r="C330" s="59"/>
      <c r="D330" s="59"/>
      <c r="E330" s="59"/>
      <c r="F330" s="59"/>
      <c r="G330" s="59">
        <v>0</v>
      </c>
      <c r="H330" s="59">
        <v>0</v>
      </c>
      <c r="I330" s="60"/>
      <c r="J330" s="60">
        <v>0</v>
      </c>
      <c r="K330" s="60"/>
      <c r="L330" s="60"/>
      <c r="M330" s="25"/>
      <c r="N330" s="25"/>
      <c r="O330" s="25"/>
      <c r="P330" s="25"/>
      <c r="Q330" s="25"/>
      <c r="R330" s="25"/>
      <c r="S330" s="25"/>
      <c r="T330" s="55"/>
      <c r="U330" s="45"/>
      <c r="V330" s="82"/>
    </row>
    <row r="331" spans="1:22" hidden="1">
      <c r="A331" s="35" t="s">
        <v>123</v>
      </c>
      <c r="B331" s="38" t="s">
        <v>124</v>
      </c>
      <c r="C331" s="59"/>
      <c r="D331" s="59"/>
      <c r="E331" s="59"/>
      <c r="F331" s="59"/>
      <c r="G331" s="59">
        <v>0</v>
      </c>
      <c r="H331" s="59">
        <v>0</v>
      </c>
      <c r="I331" s="60"/>
      <c r="J331" s="60">
        <v>0</v>
      </c>
      <c r="K331" s="60"/>
      <c r="L331" s="60"/>
      <c r="M331" s="25"/>
      <c r="N331" s="25"/>
      <c r="O331" s="25"/>
      <c r="P331" s="25"/>
      <c r="Q331" s="25"/>
      <c r="R331" s="25"/>
      <c r="S331" s="25"/>
      <c r="T331" s="55"/>
      <c r="U331" s="45"/>
      <c r="V331" s="82"/>
    </row>
    <row r="332" spans="1:22" hidden="1">
      <c r="A332" s="35" t="s">
        <v>125</v>
      </c>
      <c r="B332" s="38" t="s">
        <v>190</v>
      </c>
      <c r="C332" s="59"/>
      <c r="D332" s="59"/>
      <c r="E332" s="59"/>
      <c r="F332" s="59"/>
      <c r="G332" s="59">
        <v>0</v>
      </c>
      <c r="H332" s="59">
        <v>0</v>
      </c>
      <c r="I332" s="60"/>
      <c r="J332" s="60">
        <v>0</v>
      </c>
      <c r="K332" s="60"/>
      <c r="L332" s="60"/>
      <c r="M332" s="25"/>
      <c r="N332" s="25"/>
      <c r="O332" s="25"/>
      <c r="P332" s="25"/>
      <c r="Q332" s="25"/>
      <c r="R332" s="25"/>
      <c r="S332" s="25"/>
      <c r="T332" s="55"/>
      <c r="U332" s="45"/>
      <c r="V332" s="82"/>
    </row>
    <row r="333" spans="1:22" hidden="1">
      <c r="A333" s="35" t="s">
        <v>126</v>
      </c>
      <c r="B333" s="38" t="s">
        <v>67</v>
      </c>
      <c r="C333" s="59"/>
      <c r="D333" s="59"/>
      <c r="E333" s="59"/>
      <c r="F333" s="59"/>
      <c r="G333" s="59">
        <v>0</v>
      </c>
      <c r="H333" s="59">
        <v>0</v>
      </c>
      <c r="I333" s="60"/>
      <c r="J333" s="60">
        <v>0</v>
      </c>
      <c r="K333" s="60"/>
      <c r="L333" s="60"/>
      <c r="M333" s="25"/>
      <c r="N333" s="25"/>
      <c r="O333" s="25"/>
      <c r="P333" s="25"/>
      <c r="Q333" s="25"/>
      <c r="R333" s="25"/>
      <c r="S333" s="25"/>
      <c r="T333" s="55"/>
      <c r="U333" s="45"/>
      <c r="V333" s="82"/>
    </row>
    <row r="334" spans="1:22" hidden="1">
      <c r="A334" s="35" t="s">
        <v>127</v>
      </c>
      <c r="B334" s="38" t="s">
        <v>128</v>
      </c>
      <c r="C334" s="59"/>
      <c r="D334" s="59"/>
      <c r="E334" s="59"/>
      <c r="F334" s="59"/>
      <c r="G334" s="59">
        <v>0</v>
      </c>
      <c r="H334" s="59">
        <v>0</v>
      </c>
      <c r="I334" s="60"/>
      <c r="J334" s="60">
        <v>0</v>
      </c>
      <c r="K334" s="60"/>
      <c r="L334" s="60"/>
      <c r="M334" s="25"/>
      <c r="N334" s="25"/>
      <c r="O334" s="25"/>
      <c r="P334" s="25"/>
      <c r="Q334" s="25"/>
      <c r="R334" s="25"/>
      <c r="S334" s="25"/>
      <c r="T334" s="55"/>
      <c r="U334" s="45"/>
      <c r="V334" s="82"/>
    </row>
    <row r="335" spans="1:22" hidden="1">
      <c r="A335" s="35" t="s">
        <v>129</v>
      </c>
      <c r="B335" s="38" t="s">
        <v>69</v>
      </c>
      <c r="C335" s="59"/>
      <c r="D335" s="59"/>
      <c r="E335" s="59"/>
      <c r="F335" s="59"/>
      <c r="G335" s="59">
        <v>0</v>
      </c>
      <c r="H335" s="59">
        <v>0</v>
      </c>
      <c r="I335" s="60"/>
      <c r="J335" s="60">
        <v>0</v>
      </c>
      <c r="K335" s="60"/>
      <c r="L335" s="60"/>
      <c r="M335" s="25"/>
      <c r="N335" s="25"/>
      <c r="O335" s="25"/>
      <c r="P335" s="25"/>
      <c r="Q335" s="25"/>
      <c r="R335" s="25"/>
      <c r="S335" s="25"/>
      <c r="T335" s="55"/>
      <c r="U335" s="45"/>
      <c r="V335" s="82"/>
    </row>
    <row r="336" spans="1:22" hidden="1">
      <c r="A336" s="35" t="s">
        <v>130</v>
      </c>
      <c r="B336" s="4" t="s">
        <v>70</v>
      </c>
      <c r="C336" s="59"/>
      <c r="D336" s="59"/>
      <c r="E336" s="59"/>
      <c r="F336" s="59"/>
      <c r="G336" s="59">
        <v>0</v>
      </c>
      <c r="H336" s="59">
        <v>0</v>
      </c>
      <c r="I336" s="60"/>
      <c r="J336" s="60">
        <v>0</v>
      </c>
      <c r="K336" s="60"/>
      <c r="L336" s="60"/>
      <c r="M336" s="25"/>
      <c r="N336" s="25"/>
      <c r="O336" s="25"/>
      <c r="P336" s="25"/>
      <c r="Q336" s="25"/>
      <c r="R336" s="25"/>
      <c r="S336" s="25"/>
      <c r="T336" s="55"/>
      <c r="U336" s="45"/>
      <c r="V336" s="82"/>
    </row>
    <row r="337" spans="1:23" hidden="1">
      <c r="A337" s="35" t="s">
        <v>131</v>
      </c>
      <c r="B337" s="4" t="s">
        <v>71</v>
      </c>
      <c r="C337" s="59"/>
      <c r="D337" s="59"/>
      <c r="E337" s="59"/>
      <c r="F337" s="59"/>
      <c r="G337" s="59">
        <v>0</v>
      </c>
      <c r="H337" s="59">
        <v>0</v>
      </c>
      <c r="I337" s="60"/>
      <c r="J337" s="60">
        <v>0</v>
      </c>
      <c r="K337" s="60"/>
      <c r="L337" s="60"/>
      <c r="M337" s="25"/>
      <c r="N337" s="25"/>
      <c r="O337" s="25"/>
      <c r="P337" s="25"/>
      <c r="Q337" s="25"/>
      <c r="R337" s="25"/>
      <c r="S337" s="25"/>
      <c r="T337" s="55"/>
      <c r="U337" s="45"/>
      <c r="V337" s="82"/>
    </row>
    <row r="338" spans="1:23" hidden="1">
      <c r="A338" s="35" t="s">
        <v>132</v>
      </c>
      <c r="B338" s="38" t="s">
        <v>72</v>
      </c>
      <c r="C338" s="59"/>
      <c r="D338" s="59"/>
      <c r="E338" s="59"/>
      <c r="F338" s="59"/>
      <c r="G338" s="59">
        <v>0</v>
      </c>
      <c r="H338" s="59">
        <v>0</v>
      </c>
      <c r="I338" s="60"/>
      <c r="J338" s="60">
        <v>0</v>
      </c>
      <c r="K338" s="60"/>
      <c r="L338" s="60"/>
      <c r="M338" s="25"/>
      <c r="N338" s="25"/>
      <c r="O338" s="25"/>
      <c r="P338" s="25"/>
      <c r="Q338" s="25"/>
      <c r="R338" s="25"/>
      <c r="S338" s="25"/>
      <c r="T338" s="55"/>
      <c r="U338" s="45"/>
      <c r="V338" s="82"/>
    </row>
    <row r="339" spans="1:23" hidden="1">
      <c r="A339" s="35" t="s">
        <v>133</v>
      </c>
      <c r="B339" s="38" t="s">
        <v>74</v>
      </c>
      <c r="C339" s="59"/>
      <c r="D339" s="59"/>
      <c r="E339" s="59"/>
      <c r="F339" s="59"/>
      <c r="G339" s="59">
        <v>0</v>
      </c>
      <c r="H339" s="59">
        <v>0</v>
      </c>
      <c r="I339" s="60"/>
      <c r="J339" s="60">
        <v>0</v>
      </c>
      <c r="K339" s="60"/>
      <c r="L339" s="60"/>
      <c r="M339" s="25"/>
      <c r="N339" s="25"/>
      <c r="O339" s="25"/>
      <c r="P339" s="25"/>
      <c r="Q339" s="25"/>
      <c r="R339" s="25"/>
      <c r="S339" s="25"/>
      <c r="T339" s="55"/>
      <c r="U339" s="45"/>
      <c r="V339" s="82"/>
    </row>
    <row r="340" spans="1:23" hidden="1">
      <c r="A340" s="35" t="s">
        <v>134</v>
      </c>
      <c r="B340" s="38" t="s">
        <v>135</v>
      </c>
      <c r="C340" s="59"/>
      <c r="D340" s="59"/>
      <c r="E340" s="59"/>
      <c r="F340" s="59"/>
      <c r="G340" s="59">
        <v>0</v>
      </c>
      <c r="H340" s="59">
        <v>0</v>
      </c>
      <c r="I340" s="60"/>
      <c r="J340" s="60">
        <v>0</v>
      </c>
      <c r="K340" s="60"/>
      <c r="L340" s="60"/>
      <c r="M340" s="25"/>
      <c r="N340" s="25"/>
      <c r="O340" s="25"/>
      <c r="P340" s="25"/>
      <c r="Q340" s="25"/>
      <c r="R340" s="25"/>
      <c r="S340" s="25"/>
      <c r="T340" s="55"/>
      <c r="U340" s="45"/>
      <c r="V340" s="82"/>
    </row>
    <row r="341" spans="1:23">
      <c r="A341" s="35" t="s">
        <v>136</v>
      </c>
      <c r="B341" s="4" t="s">
        <v>137</v>
      </c>
      <c r="C341" s="59"/>
      <c r="D341" s="59"/>
      <c r="E341" s="59"/>
      <c r="F341" s="59"/>
      <c r="G341" s="59">
        <v>0</v>
      </c>
      <c r="H341" s="59">
        <v>0</v>
      </c>
      <c r="I341" s="60"/>
      <c r="J341" s="60">
        <v>0</v>
      </c>
      <c r="K341" s="60"/>
      <c r="L341" s="60"/>
      <c r="M341" s="25"/>
      <c r="N341" s="25"/>
      <c r="O341" s="25"/>
      <c r="P341" s="25"/>
      <c r="Q341" s="25"/>
      <c r="R341" s="25"/>
      <c r="S341" s="25"/>
      <c r="T341" s="55"/>
      <c r="U341" s="45"/>
      <c r="V341" s="82"/>
      <c r="W341" s="92"/>
    </row>
    <row r="342" spans="1:23" ht="24.75">
      <c r="A342" s="156">
        <v>10</v>
      </c>
      <c r="B342" s="157" t="s">
        <v>138</v>
      </c>
      <c r="C342" s="158">
        <f t="shared" ref="C342:U342" si="35">SUM(C343:C344)</f>
        <v>3000000</v>
      </c>
      <c r="D342" s="158">
        <f t="shared" si="35"/>
        <v>3000000</v>
      </c>
      <c r="E342" s="158">
        <f t="shared" si="35"/>
        <v>3000000</v>
      </c>
      <c r="F342" s="158">
        <f t="shared" si="35"/>
        <v>1500000</v>
      </c>
      <c r="G342" s="158">
        <f t="shared" si="35"/>
        <v>2500000</v>
      </c>
      <c r="H342" s="158">
        <f t="shared" si="35"/>
        <v>2462938.1</v>
      </c>
      <c r="I342" s="158">
        <f t="shared" si="35"/>
        <v>2500000</v>
      </c>
      <c r="J342" s="158">
        <f t="shared" si="35"/>
        <v>0</v>
      </c>
      <c r="K342" s="158">
        <f t="shared" si="35"/>
        <v>0</v>
      </c>
      <c r="L342" s="158">
        <f t="shared" si="35"/>
        <v>5000000</v>
      </c>
      <c r="M342" s="158">
        <f t="shared" si="35"/>
        <v>1099275.8</v>
      </c>
      <c r="N342" s="158">
        <f t="shared" si="35"/>
        <v>2600000</v>
      </c>
      <c r="O342" s="158">
        <f t="shared" si="35"/>
        <v>2576822.46</v>
      </c>
      <c r="P342" s="158">
        <f t="shared" si="35"/>
        <v>4000000</v>
      </c>
      <c r="Q342" s="158">
        <f t="shared" si="35"/>
        <v>5037428.2300000004</v>
      </c>
      <c r="R342" s="148" t="e">
        <f t="shared" si="35"/>
        <v>#REF!</v>
      </c>
      <c r="S342" s="158">
        <f t="shared" si="35"/>
        <v>10822992.23</v>
      </c>
      <c r="T342" s="158" t="e">
        <f t="shared" si="35"/>
        <v>#REF!</v>
      </c>
      <c r="U342" s="158">
        <f t="shared" si="35"/>
        <v>10000000</v>
      </c>
      <c r="V342" s="82"/>
      <c r="W342" s="92"/>
    </row>
    <row r="343" spans="1:23">
      <c r="A343" s="37" t="s">
        <v>139</v>
      </c>
      <c r="B343" s="4" t="s">
        <v>140</v>
      </c>
      <c r="C343" s="59">
        <v>0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60">
        <v>0</v>
      </c>
      <c r="J343" s="60">
        <v>0</v>
      </c>
      <c r="K343" s="60"/>
      <c r="L343" s="60"/>
      <c r="M343" s="25"/>
      <c r="N343" s="25"/>
      <c r="O343" s="25"/>
      <c r="P343" s="25"/>
      <c r="Q343" s="25"/>
      <c r="R343" s="25"/>
      <c r="S343" s="25"/>
      <c r="T343" s="55"/>
      <c r="U343" s="45"/>
      <c r="V343" s="82"/>
      <c r="W343" s="92"/>
    </row>
    <row r="344" spans="1:23">
      <c r="A344" s="37" t="s">
        <v>141</v>
      </c>
      <c r="B344" s="4" t="s">
        <v>142</v>
      </c>
      <c r="C344" s="59">
        <v>3000000</v>
      </c>
      <c r="D344" s="59">
        <v>3000000</v>
      </c>
      <c r="E344" s="59">
        <v>3000000</v>
      </c>
      <c r="F344" s="59">
        <v>1500000</v>
      </c>
      <c r="G344" s="59">
        <v>2500000</v>
      </c>
      <c r="H344" s="59">
        <v>2462938.1</v>
      </c>
      <c r="I344" s="60">
        <v>2500000</v>
      </c>
      <c r="J344" s="60">
        <v>0</v>
      </c>
      <c r="K344" s="60"/>
      <c r="L344" s="60">
        <v>5000000</v>
      </c>
      <c r="M344" s="45">
        <v>1099275.8</v>
      </c>
      <c r="N344" s="45">
        <v>2600000</v>
      </c>
      <c r="O344" s="45">
        <v>2576822.46</v>
      </c>
      <c r="P344" s="45">
        <v>4000000</v>
      </c>
      <c r="Q344" s="45">
        <v>5037428.2300000004</v>
      </c>
      <c r="R344" s="45" t="e">
        <f>#REF!</f>
        <v>#REF!</v>
      </c>
      <c r="S344" s="45">
        <v>10822992.23</v>
      </c>
      <c r="T344" s="55" t="e">
        <f>#REF!</f>
        <v>#REF!</v>
      </c>
      <c r="U344" s="45">
        <v>10000000</v>
      </c>
      <c r="V344" s="82"/>
    </row>
    <row r="345" spans="1:23" ht="45">
      <c r="A345" s="159">
        <v>11</v>
      </c>
      <c r="B345" s="160" t="s">
        <v>163</v>
      </c>
      <c r="C345" s="152"/>
      <c r="D345" s="152"/>
      <c r="E345" s="152"/>
      <c r="F345" s="152"/>
      <c r="G345" s="152"/>
      <c r="H345" s="152"/>
      <c r="I345" s="154"/>
      <c r="J345" s="154"/>
      <c r="K345" s="154"/>
      <c r="L345" s="154"/>
      <c r="M345" s="161"/>
      <c r="N345" s="161"/>
      <c r="O345" s="161"/>
      <c r="P345" s="161"/>
      <c r="Q345" s="161"/>
      <c r="R345" s="161"/>
      <c r="S345" s="148">
        <v>30661200</v>
      </c>
      <c r="T345" s="162"/>
      <c r="U345" s="163">
        <v>30661200</v>
      </c>
      <c r="V345" s="82"/>
      <c r="W345" s="92"/>
    </row>
    <row r="346" spans="1:23">
      <c r="A346" s="37"/>
      <c r="B346" s="4" t="s">
        <v>191</v>
      </c>
      <c r="C346" s="1">
        <v>7507826.7800000003</v>
      </c>
      <c r="D346" s="59">
        <v>9963333.1600000001</v>
      </c>
      <c r="E346" s="59">
        <v>3209352.93</v>
      </c>
      <c r="F346" s="59">
        <v>4860593.55</v>
      </c>
      <c r="G346" s="59"/>
      <c r="H346" s="59"/>
      <c r="I346" s="60"/>
      <c r="J346" s="60">
        <v>20010921.98</v>
      </c>
      <c r="K346" s="60">
        <v>22051954.219999999</v>
      </c>
      <c r="L346" s="60"/>
      <c r="M346" s="45">
        <v>11137242.24</v>
      </c>
      <c r="N346" s="45"/>
      <c r="O346" s="48">
        <v>9020810.2799999993</v>
      </c>
      <c r="P346" s="48">
        <v>9020810.2799999993</v>
      </c>
      <c r="Q346" s="48">
        <v>21124466.649999999</v>
      </c>
      <c r="R346" s="48">
        <v>0</v>
      </c>
      <c r="S346" s="48"/>
      <c r="T346" s="94">
        <v>24043978.899999999</v>
      </c>
      <c r="U346" s="45"/>
      <c r="V346" s="82"/>
      <c r="W346" s="92"/>
    </row>
    <row r="347" spans="1:23" ht="20.25">
      <c r="A347" s="43"/>
      <c r="B347" s="62" t="s">
        <v>396</v>
      </c>
      <c r="C347" s="59">
        <f>C186+C130+C346</f>
        <v>78088996.420000017</v>
      </c>
      <c r="D347" s="59">
        <f>D186+D130+D346</f>
        <v>118545745.07999998</v>
      </c>
      <c r="E347" s="59">
        <f>E186+E130+E346</f>
        <v>102237473.76000001</v>
      </c>
      <c r="F347" s="59">
        <f>F186+F130+F346</f>
        <v>121565754.97</v>
      </c>
      <c r="G347" s="59">
        <f>G186+G130</f>
        <v>134878523.62</v>
      </c>
      <c r="H347" s="59">
        <f t="shared" ref="H347:R347" si="36">H186+H130+H346</f>
        <v>100670245.64</v>
      </c>
      <c r="I347" s="60">
        <f t="shared" si="36"/>
        <v>187063042.63999999</v>
      </c>
      <c r="J347" s="60">
        <f t="shared" si="36"/>
        <v>51540689.200000003</v>
      </c>
      <c r="K347" s="60">
        <f t="shared" si="36"/>
        <v>58141183.439999998</v>
      </c>
      <c r="L347" s="60">
        <f t="shared" si="36"/>
        <v>86306896</v>
      </c>
      <c r="M347" s="60">
        <f t="shared" si="36"/>
        <v>109655022.56999999</v>
      </c>
      <c r="N347" s="60">
        <f t="shared" si="36"/>
        <v>167364214.16</v>
      </c>
      <c r="O347" s="60">
        <f t="shared" si="36"/>
        <v>165917336.42000002</v>
      </c>
      <c r="P347" s="60">
        <f t="shared" si="36"/>
        <v>197735688.91</v>
      </c>
      <c r="Q347" s="60">
        <f t="shared" si="36"/>
        <v>177771579.31</v>
      </c>
      <c r="R347" s="60" t="e">
        <f t="shared" si="36"/>
        <v>#REF!</v>
      </c>
      <c r="S347" s="55">
        <f>S186+S130+S345+S346</f>
        <v>227752860.65000001</v>
      </c>
      <c r="T347" s="55" t="e">
        <f>T186+T130+T345+T346</f>
        <v>#REF!</v>
      </c>
      <c r="U347" s="45">
        <f>U186+U130+U345+U346</f>
        <v>172700150</v>
      </c>
      <c r="V347" s="82"/>
    </row>
    <row r="348" spans="1:23" ht="21">
      <c r="R348" s="28"/>
      <c r="S348" s="28"/>
      <c r="T348" s="130"/>
      <c r="U348" s="54"/>
      <c r="V348" s="86"/>
      <c r="W348" s="92"/>
    </row>
    <row r="349" spans="1:23">
      <c r="B349" s="181"/>
      <c r="T349" s="86"/>
    </row>
    <row r="350" spans="1:23">
      <c r="T350" s="91"/>
    </row>
    <row r="351" spans="1:23">
      <c r="T351" s="86"/>
    </row>
    <row r="352" spans="1:23">
      <c r="T352" s="93"/>
    </row>
    <row r="353" spans="20:20">
      <c r="T353" s="92"/>
    </row>
  </sheetData>
  <mergeCells count="4">
    <mergeCell ref="A1:U1"/>
    <mergeCell ref="A127:U127"/>
    <mergeCell ref="A128:U128"/>
    <mergeCell ref="A2:U2"/>
  </mergeCells>
  <phoneticPr fontId="41" type="noConversion"/>
  <pageMargins left="0.2" right="0.2" top="0.21" bottom="0.21" header="0.41" footer="0.21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FC 2072-073</vt:lpstr>
      <vt:lpstr>'FC 2072-073'!Print_Area</vt:lpstr>
      <vt:lpstr>'FC 2072-073'!Print_Titles</vt:lpstr>
    </vt:vector>
  </TitlesOfParts>
  <Company>mtc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2015-01-28T11:59:15Z</cp:lastPrinted>
  <dcterms:created xsi:type="dcterms:W3CDTF">2013-01-06T10:17:47Z</dcterms:created>
  <dcterms:modified xsi:type="dcterms:W3CDTF">2015-06-22T07:14:02Z</dcterms:modified>
</cp:coreProperties>
</file>